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15" yWindow="885" windowWidth="20730" windowHeight="11760" activeTab="1"/>
  </bookViews>
  <sheets>
    <sheet name="Revenue" sheetId="1" r:id="rId1"/>
    <sheet name="P&amp;LJan-Dec 20" sheetId="2" r:id="rId2"/>
    <sheet name="BS 2020" sheetId="3" r:id="rId3"/>
  </sheets>
  <externalReferences>
    <externalReference r:id="rId4"/>
  </externalReferences>
  <definedNames>
    <definedName name="Cash_beginning">#REF!</definedName>
    <definedName name="Cash_minimum">#REF!</definedName>
    <definedName name="Company_name">#REF!</definedName>
    <definedName name="_xlnm.Print_Area" localSheetId="2">'BS 2020'!$A$5:$M$28</definedName>
    <definedName name="_xlnm.Print_Area" localSheetId="1">'P&amp;LJan-Dec 20'!$A$4:$A$26</definedName>
    <definedName name="_xlnm.Print_Area" localSheetId="0">Revenue!$A$2:$O$14</definedName>
    <definedName name="Start_dat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" l="1"/>
  <c r="C9" i="3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O5" i="1" l="1"/>
  <c r="O6" i="1"/>
  <c r="O7" i="1"/>
  <c r="O8" i="1"/>
  <c r="O9" i="1"/>
  <c r="O10" i="1"/>
  <c r="O11" i="1"/>
  <c r="O12" i="1"/>
  <c r="O13" i="1"/>
  <c r="O4" i="1"/>
  <c r="O14" i="1" s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H40" i="3"/>
  <c r="E23" i="3"/>
  <c r="F23" i="3" s="1"/>
  <c r="G23" i="3" s="1"/>
  <c r="H23" i="3" s="1"/>
  <c r="I23" i="3" s="1"/>
  <c r="J23" i="3" s="1"/>
  <c r="K23" i="3" s="1"/>
  <c r="L23" i="3" s="1"/>
  <c r="M23" i="3" s="1"/>
  <c r="N23" i="3" s="1"/>
  <c r="B46" i="3"/>
  <c r="B7" i="3" s="1"/>
  <c r="B10" i="3" s="1"/>
  <c r="C18" i="3"/>
  <c r="D18" i="3" s="1"/>
  <c r="C11" i="3"/>
  <c r="B13" i="3"/>
  <c r="C12" i="3"/>
  <c r="D12" i="3" s="1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B39" i="3"/>
  <c r="E41" i="3"/>
  <c r="F41" i="3" s="1"/>
  <c r="G41" i="3" s="1"/>
  <c r="H41" i="3" s="1"/>
  <c r="I41" i="3" s="1"/>
  <c r="J41" i="3" s="1"/>
  <c r="K41" i="3" s="1"/>
  <c r="L41" i="3" s="1"/>
  <c r="M41" i="3" s="1"/>
  <c r="N41" i="3" s="1"/>
  <c r="B14" i="3" l="1"/>
  <c r="B47" i="3"/>
  <c r="C47" i="3" s="1"/>
  <c r="D47" i="3" s="1"/>
  <c r="C13" i="3"/>
  <c r="D11" i="3"/>
  <c r="E11" i="3" l="1"/>
  <c r="D13" i="3"/>
  <c r="O22" i="2"/>
  <c r="P14" i="1" l="1"/>
  <c r="F11" i="3"/>
  <c r="E13" i="3"/>
  <c r="B33" i="3"/>
  <c r="C33" i="3" s="1"/>
  <c r="D33" i="3" s="1"/>
  <c r="E33" i="3" s="1"/>
  <c r="F33" i="3" s="1"/>
  <c r="G33" i="3" s="1"/>
  <c r="H33" i="3" s="1"/>
  <c r="I33" i="3" s="1"/>
  <c r="J33" i="3" s="1"/>
  <c r="K33" i="3" s="1"/>
  <c r="L33" i="3" s="1"/>
  <c r="M33" i="3" s="1"/>
  <c r="N33" i="3" s="1"/>
  <c r="C36" i="3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B19" i="2"/>
  <c r="B18" i="2"/>
  <c r="O14" i="2"/>
  <c r="B14" i="2"/>
  <c r="M23" i="2"/>
  <c r="L23" i="2"/>
  <c r="I23" i="2"/>
  <c r="H23" i="2"/>
  <c r="D23" i="2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D3" i="1"/>
  <c r="E3" i="1" s="1"/>
  <c r="G11" i="3" l="1"/>
  <c r="F13" i="3"/>
  <c r="C24" i="3"/>
  <c r="D24" i="3" s="1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B13" i="2"/>
  <c r="O20" i="2"/>
  <c r="B15" i="2"/>
  <c r="B16" i="2"/>
  <c r="B21" i="2"/>
  <c r="B22" i="2"/>
  <c r="B20" i="2"/>
  <c r="O21" i="2"/>
  <c r="O15" i="2"/>
  <c r="O16" i="2"/>
  <c r="O18" i="2"/>
  <c r="O19" i="2"/>
  <c r="F23" i="2"/>
  <c r="J23" i="2"/>
  <c r="N23" i="2"/>
  <c r="O17" i="2"/>
  <c r="C23" i="2"/>
  <c r="G23" i="2"/>
  <c r="K23" i="2"/>
  <c r="B17" i="2"/>
  <c r="D36" i="3"/>
  <c r="B27" i="3"/>
  <c r="D25" i="3"/>
  <c r="E25" i="3" s="1"/>
  <c r="F25" i="3" s="1"/>
  <c r="G25" i="3" s="1"/>
  <c r="H25" i="3" s="1"/>
  <c r="I25" i="3" s="1"/>
  <c r="J25" i="3" s="1"/>
  <c r="K25" i="3" s="1"/>
  <c r="L25" i="3" s="1"/>
  <c r="M25" i="3" s="1"/>
  <c r="E23" i="2"/>
  <c r="O13" i="2"/>
  <c r="F3" i="1"/>
  <c r="H11" i="3" l="1"/>
  <c r="G13" i="3"/>
  <c r="B23" i="2"/>
  <c r="O23" i="2"/>
  <c r="G3" i="1"/>
  <c r="I11" i="3" l="1"/>
  <c r="H13" i="3"/>
  <c r="D38" i="3"/>
  <c r="C38" i="3"/>
  <c r="H3" i="1"/>
  <c r="E38" i="3" l="1"/>
  <c r="J11" i="3"/>
  <c r="I13" i="3"/>
  <c r="I3" i="1"/>
  <c r="F38" i="3" l="1"/>
  <c r="K11" i="3"/>
  <c r="J13" i="3"/>
  <c r="J3" i="1"/>
  <c r="G38" i="3" l="1"/>
  <c r="L11" i="3"/>
  <c r="K13" i="3"/>
  <c r="K3" i="1"/>
  <c r="M11" i="3" l="1"/>
  <c r="L13" i="3"/>
  <c r="F36" i="3"/>
  <c r="E36" i="3"/>
  <c r="L3" i="1"/>
  <c r="I38" i="3" l="1"/>
  <c r="N11" i="3"/>
  <c r="N13" i="3" s="1"/>
  <c r="M13" i="3"/>
  <c r="G36" i="3"/>
  <c r="H38" i="3"/>
  <c r="M3" i="1"/>
  <c r="J38" i="3" l="1"/>
  <c r="H36" i="3"/>
  <c r="N3" i="1"/>
  <c r="I36" i="3" l="1"/>
  <c r="K38" i="3" l="1"/>
  <c r="N25" i="3"/>
  <c r="M38" i="3" l="1"/>
  <c r="J36" i="3"/>
  <c r="L38" i="3"/>
  <c r="L36" i="3" l="1"/>
  <c r="K36" i="3"/>
  <c r="N38" i="3"/>
  <c r="M36" i="3" l="1"/>
  <c r="N36" i="3" l="1"/>
  <c r="E25" i="1"/>
  <c r="E22" i="1"/>
  <c r="E21" i="1"/>
  <c r="E27" i="1"/>
  <c r="E26" i="1"/>
  <c r="E29" i="1"/>
  <c r="E23" i="1"/>
  <c r="E30" i="1" s="1"/>
  <c r="E9" i="2" s="1"/>
  <c r="E24" i="1"/>
  <c r="E28" i="1"/>
  <c r="C21" i="1"/>
  <c r="F21" i="1"/>
  <c r="C25" i="1"/>
  <c r="C23" i="1"/>
  <c r="D23" i="1"/>
  <c r="F26" i="1"/>
  <c r="D22" i="1"/>
  <c r="F24" i="1"/>
  <c r="C24" i="1"/>
  <c r="D27" i="1"/>
  <c r="F27" i="1"/>
  <c r="F28" i="1"/>
  <c r="F29" i="1"/>
  <c r="D29" i="1"/>
  <c r="E20" i="1"/>
  <c r="E14" i="1"/>
  <c r="E6" i="2" s="1"/>
  <c r="E7" i="2" s="1"/>
  <c r="F14" i="1"/>
  <c r="F6" i="2" s="1"/>
  <c r="F7" i="2" s="1"/>
  <c r="G20" i="1"/>
  <c r="E10" i="2" l="1"/>
  <c r="H20" i="1"/>
  <c r="G28" i="1"/>
  <c r="D20" i="1"/>
  <c r="F20" i="1"/>
  <c r="G25" i="1"/>
  <c r="C20" i="1"/>
  <c r="E17" i="3"/>
  <c r="G23" i="1"/>
  <c r="C14" i="1"/>
  <c r="G22" i="1"/>
  <c r="C29" i="1"/>
  <c r="D24" i="1"/>
  <c r="C27" i="1"/>
  <c r="C28" i="1"/>
  <c r="F22" i="1"/>
  <c r="F25" i="1"/>
  <c r="F23" i="1"/>
  <c r="D28" i="1"/>
  <c r="C22" i="1"/>
  <c r="D26" i="1"/>
  <c r="D25" i="1"/>
  <c r="D21" i="1"/>
  <c r="C26" i="1"/>
  <c r="E24" i="2" l="1"/>
  <c r="E25" i="2" s="1"/>
  <c r="G26" i="1"/>
  <c r="G29" i="1"/>
  <c r="H23" i="1"/>
  <c r="G14" i="1"/>
  <c r="G6" i="2" s="1"/>
  <c r="G7" i="2" s="1"/>
  <c r="F30" i="1"/>
  <c r="D14" i="1"/>
  <c r="H28" i="1"/>
  <c r="G24" i="1"/>
  <c r="C6" i="2"/>
  <c r="C7" i="2"/>
  <c r="H25" i="1"/>
  <c r="I20" i="1"/>
  <c r="D30" i="1"/>
  <c r="H22" i="1"/>
  <c r="G21" i="1"/>
  <c r="G27" i="1"/>
  <c r="C30" i="1"/>
  <c r="E26" i="2" l="1"/>
  <c r="E35" i="3"/>
  <c r="E11" i="2"/>
  <c r="H26" i="1"/>
  <c r="G30" i="1"/>
  <c r="G17" i="3" s="1"/>
  <c r="H27" i="1"/>
  <c r="J20" i="1"/>
  <c r="I25" i="1"/>
  <c r="D6" i="2"/>
  <c r="D7" i="2"/>
  <c r="H21" i="1"/>
  <c r="H14" i="1"/>
  <c r="H6" i="2" s="1"/>
  <c r="H7" i="2" s="1"/>
  <c r="H24" i="1"/>
  <c r="F9" i="2"/>
  <c r="F10" i="2" s="1"/>
  <c r="F17" i="3"/>
  <c r="I23" i="1"/>
  <c r="H29" i="1"/>
  <c r="I28" i="1"/>
  <c r="B17" i="3"/>
  <c r="B21" i="3" s="1"/>
  <c r="C9" i="2"/>
  <c r="C10" i="2" s="1"/>
  <c r="C17" i="3"/>
  <c r="C21" i="3" s="1"/>
  <c r="I22" i="1"/>
  <c r="D17" i="3"/>
  <c r="D21" i="3" s="1"/>
  <c r="D9" i="2"/>
  <c r="D10" i="2" l="1"/>
  <c r="B28" i="3"/>
  <c r="G9" i="2"/>
  <c r="G10" i="2" s="1"/>
  <c r="I26" i="1"/>
  <c r="D37" i="3"/>
  <c r="E37" i="3"/>
  <c r="E39" i="3" s="1"/>
  <c r="E42" i="3" s="1"/>
  <c r="J28" i="1"/>
  <c r="I29" i="1"/>
  <c r="J23" i="1"/>
  <c r="I21" i="1"/>
  <c r="I14" i="1"/>
  <c r="I6" i="2" s="1"/>
  <c r="J22" i="1"/>
  <c r="F37" i="3"/>
  <c r="H30" i="1"/>
  <c r="J25" i="1"/>
  <c r="K20" i="1"/>
  <c r="I27" i="1"/>
  <c r="C37" i="3"/>
  <c r="I24" i="1"/>
  <c r="G37" i="3"/>
  <c r="D24" i="2" l="1"/>
  <c r="D25" i="2" s="1"/>
  <c r="F24" i="2"/>
  <c r="F25" i="2" s="1"/>
  <c r="F11" i="2"/>
  <c r="B29" i="3"/>
  <c r="B30" i="3"/>
  <c r="J26" i="1"/>
  <c r="J24" i="1"/>
  <c r="L20" i="1"/>
  <c r="H9" i="2"/>
  <c r="H10" i="2" s="1"/>
  <c r="H17" i="3"/>
  <c r="I7" i="2"/>
  <c r="K23" i="1"/>
  <c r="J27" i="1"/>
  <c r="C11" i="2"/>
  <c r="C24" i="2"/>
  <c r="C25" i="2" s="1"/>
  <c r="J21" i="1"/>
  <c r="J14" i="1"/>
  <c r="J6" i="2" s="1"/>
  <c r="J7" i="2" s="1"/>
  <c r="K25" i="1"/>
  <c r="K22" i="1"/>
  <c r="I30" i="1"/>
  <c r="J29" i="1"/>
  <c r="K28" i="1"/>
  <c r="D11" i="2" l="1"/>
  <c r="F26" i="2"/>
  <c r="F35" i="3"/>
  <c r="F39" i="3" s="1"/>
  <c r="F42" i="3" s="1"/>
  <c r="G24" i="2"/>
  <c r="G25" i="2" s="1"/>
  <c r="K26" i="1"/>
  <c r="L23" i="1"/>
  <c r="H37" i="3"/>
  <c r="M20" i="1"/>
  <c r="K24" i="1"/>
  <c r="L28" i="1"/>
  <c r="I9" i="2"/>
  <c r="I10" i="2" s="1"/>
  <c r="I17" i="3"/>
  <c r="L25" i="1"/>
  <c r="J30" i="1"/>
  <c r="L22" i="1"/>
  <c r="K21" i="1"/>
  <c r="K14" i="1"/>
  <c r="K6" i="2" s="1"/>
  <c r="K7" i="2" s="1"/>
  <c r="D26" i="2"/>
  <c r="D35" i="3"/>
  <c r="D39" i="3" s="1"/>
  <c r="D42" i="3" s="1"/>
  <c r="K29" i="1"/>
  <c r="C26" i="2"/>
  <c r="C35" i="3"/>
  <c r="C39" i="3" s="1"/>
  <c r="C42" i="3" s="1"/>
  <c r="C26" i="3"/>
  <c r="K27" i="1"/>
  <c r="G11" i="2" l="1"/>
  <c r="G35" i="3"/>
  <c r="G39" i="3" s="1"/>
  <c r="G42" i="3" s="1"/>
  <c r="G26" i="2"/>
  <c r="C43" i="3"/>
  <c r="C46" i="3" s="1"/>
  <c r="L26" i="1"/>
  <c r="K30" i="1"/>
  <c r="H11" i="2"/>
  <c r="H24" i="2"/>
  <c r="H25" i="2" s="1"/>
  <c r="I37" i="3"/>
  <c r="L27" i="1"/>
  <c r="L21" i="1"/>
  <c r="L14" i="1"/>
  <c r="L6" i="2" s="1"/>
  <c r="J9" i="2"/>
  <c r="J10" i="2" s="1"/>
  <c r="J17" i="3"/>
  <c r="L24" i="1"/>
  <c r="C27" i="3"/>
  <c r="C28" i="3" s="1"/>
  <c r="D26" i="3"/>
  <c r="L29" i="1"/>
  <c r="M25" i="1"/>
  <c r="N25" i="1"/>
  <c r="M22" i="1"/>
  <c r="M28" i="1"/>
  <c r="N20" i="1"/>
  <c r="N23" i="1"/>
  <c r="M23" i="1"/>
  <c r="I11" i="2" l="1"/>
  <c r="C7" i="3"/>
  <c r="C10" i="3" s="1"/>
  <c r="D43" i="3"/>
  <c r="D46" i="3" s="1"/>
  <c r="E43" i="3" s="1"/>
  <c r="O23" i="1"/>
  <c r="M26" i="1"/>
  <c r="N26" i="1"/>
  <c r="N22" i="1"/>
  <c r="O22" i="1" s="1"/>
  <c r="H26" i="2"/>
  <c r="H35" i="3"/>
  <c r="H39" i="3" s="1"/>
  <c r="H42" i="3" s="1"/>
  <c r="N28" i="1"/>
  <c r="O28" i="1" s="1"/>
  <c r="M29" i="1"/>
  <c r="M24" i="1"/>
  <c r="L7" i="2"/>
  <c r="M27" i="1"/>
  <c r="O25" i="1"/>
  <c r="D27" i="3"/>
  <c r="D28" i="3" s="1"/>
  <c r="E26" i="3"/>
  <c r="M21" i="1"/>
  <c r="M14" i="1"/>
  <c r="M6" i="2" s="1"/>
  <c r="M7" i="2" s="1"/>
  <c r="K9" i="2"/>
  <c r="K10" i="2" s="1"/>
  <c r="K17" i="3"/>
  <c r="O20" i="1"/>
  <c r="J37" i="3"/>
  <c r="L30" i="1"/>
  <c r="C14" i="3" l="1"/>
  <c r="I24" i="2"/>
  <c r="I25" i="2" s="1"/>
  <c r="E44" i="3"/>
  <c r="E45" i="3" s="1"/>
  <c r="E20" i="3" s="1"/>
  <c r="D7" i="3"/>
  <c r="D10" i="3" s="1"/>
  <c r="M30" i="1"/>
  <c r="M9" i="2" s="1"/>
  <c r="M10" i="2" s="1"/>
  <c r="O26" i="1"/>
  <c r="L9" i="2"/>
  <c r="L10" i="2" s="1"/>
  <c r="L17" i="3"/>
  <c r="E27" i="3"/>
  <c r="F26" i="3"/>
  <c r="N27" i="1"/>
  <c r="O27" i="1" s="1"/>
  <c r="N24" i="1"/>
  <c r="O24" i="1" s="1"/>
  <c r="J11" i="2"/>
  <c r="J24" i="2"/>
  <c r="J25" i="2" s="1"/>
  <c r="K37" i="3"/>
  <c r="N21" i="1"/>
  <c r="N14" i="1"/>
  <c r="N6" i="2" s="1"/>
  <c r="N29" i="1"/>
  <c r="O29" i="1" s="1"/>
  <c r="D14" i="3" l="1"/>
  <c r="M17" i="3"/>
  <c r="I26" i="2"/>
  <c r="I35" i="3"/>
  <c r="I39" i="3" s="1"/>
  <c r="I42" i="3" s="1"/>
  <c r="E46" i="3"/>
  <c r="E18" i="3"/>
  <c r="E21" i="3" s="1"/>
  <c r="E47" i="3"/>
  <c r="N7" i="2"/>
  <c r="O6" i="2"/>
  <c r="J26" i="2"/>
  <c r="J35" i="3"/>
  <c r="J39" i="3" s="1"/>
  <c r="J42" i="3" s="1"/>
  <c r="K11" i="2"/>
  <c r="K24" i="2"/>
  <c r="K25" i="2" s="1"/>
  <c r="O21" i="1"/>
  <c r="O30" i="1" s="1"/>
  <c r="N30" i="1"/>
  <c r="F27" i="3"/>
  <c r="G26" i="3"/>
  <c r="L37" i="3"/>
  <c r="M37" i="3" l="1"/>
  <c r="M24" i="2"/>
  <c r="M25" i="2" s="1"/>
  <c r="L11" i="2"/>
  <c r="F43" i="3"/>
  <c r="F44" i="3" s="1"/>
  <c r="F45" i="3" s="1"/>
  <c r="F20" i="3" s="1"/>
  <c r="E7" i="3"/>
  <c r="E10" i="3" s="1"/>
  <c r="E28" i="3"/>
  <c r="G27" i="3"/>
  <c r="H26" i="3"/>
  <c r="O7" i="2"/>
  <c r="B7" i="2"/>
  <c r="N17" i="3"/>
  <c r="N9" i="2"/>
  <c r="N10" i="2" s="1"/>
  <c r="K35" i="3"/>
  <c r="K39" i="3" s="1"/>
  <c r="K42" i="3" s="1"/>
  <c r="K26" i="2"/>
  <c r="E14" i="3" l="1"/>
  <c r="M26" i="2"/>
  <c r="M35" i="3"/>
  <c r="M39" i="3" s="1"/>
  <c r="M42" i="3" s="1"/>
  <c r="M11" i="2"/>
  <c r="L24" i="2"/>
  <c r="L25" i="2" s="1"/>
  <c r="L26" i="2" s="1"/>
  <c r="F18" i="3"/>
  <c r="F46" i="3"/>
  <c r="F47" i="3"/>
  <c r="O9" i="2"/>
  <c r="O10" i="2" s="1"/>
  <c r="B9" i="2"/>
  <c r="B10" i="2" s="1"/>
  <c r="N37" i="3"/>
  <c r="H27" i="3"/>
  <c r="I26" i="3"/>
  <c r="F28" i="3" l="1"/>
  <c r="F21" i="3"/>
  <c r="L35" i="3"/>
  <c r="L39" i="3" s="1"/>
  <c r="L42" i="3" s="1"/>
  <c r="G43" i="3"/>
  <c r="G44" i="3" s="1"/>
  <c r="G47" i="3" s="1"/>
  <c r="F7" i="3"/>
  <c r="F10" i="3" s="1"/>
  <c r="I27" i="3"/>
  <c r="J26" i="3"/>
  <c r="N11" i="2"/>
  <c r="N24" i="2"/>
  <c r="N25" i="2" s="1"/>
  <c r="F14" i="3" l="1"/>
  <c r="B11" i="2"/>
  <c r="O11" i="2"/>
  <c r="G45" i="3"/>
  <c r="G20" i="3" s="1"/>
  <c r="G18" i="3"/>
  <c r="G21" i="3" s="1"/>
  <c r="N26" i="2"/>
  <c r="N35" i="3"/>
  <c r="N39" i="3" s="1"/>
  <c r="N42" i="3" s="1"/>
  <c r="J27" i="3"/>
  <c r="K26" i="3"/>
  <c r="O24" i="2" l="1"/>
  <c r="O25" i="2" s="1"/>
  <c r="O26" i="2" s="1"/>
  <c r="B24" i="2"/>
  <c r="B25" i="2" s="1"/>
  <c r="B26" i="2" s="1"/>
  <c r="G46" i="3"/>
  <c r="H43" i="3" s="1"/>
  <c r="H44" i="3" s="1"/>
  <c r="H45" i="3" s="1"/>
  <c r="H20" i="3" s="1"/>
  <c r="G28" i="3"/>
  <c r="K27" i="3"/>
  <c r="L26" i="3"/>
  <c r="G7" i="3" l="1"/>
  <c r="G10" i="3" s="1"/>
  <c r="H18" i="3"/>
  <c r="H47" i="3"/>
  <c r="H46" i="3"/>
  <c r="L27" i="3"/>
  <c r="M26" i="3"/>
  <c r="H28" i="3" l="1"/>
  <c r="H21" i="3"/>
  <c r="G14" i="3"/>
  <c r="I43" i="3"/>
  <c r="I44" i="3" s="1"/>
  <c r="I45" i="3" s="1"/>
  <c r="I20" i="3" s="1"/>
  <c r="H7" i="3"/>
  <c r="H10" i="3" s="1"/>
  <c r="N26" i="3"/>
  <c r="N27" i="3" s="1"/>
  <c r="M27" i="3"/>
  <c r="H14" i="3" l="1"/>
  <c r="I18" i="3"/>
  <c r="I46" i="3"/>
  <c r="I47" i="3"/>
  <c r="C29" i="3"/>
  <c r="I28" i="3" l="1"/>
  <c r="I21" i="3"/>
  <c r="J43" i="3"/>
  <c r="J44" i="3" s="1"/>
  <c r="I7" i="3"/>
  <c r="I10" i="3" s="1"/>
  <c r="C30" i="3"/>
  <c r="I14" i="3" l="1"/>
  <c r="J18" i="3"/>
  <c r="J21" i="3" s="1"/>
  <c r="J47" i="3"/>
  <c r="J45" i="3"/>
  <c r="J20" i="3" s="1"/>
  <c r="D30" i="3"/>
  <c r="D29" i="3"/>
  <c r="J46" i="3" l="1"/>
  <c r="J28" i="3"/>
  <c r="E29" i="3"/>
  <c r="K43" i="3" l="1"/>
  <c r="J7" i="3"/>
  <c r="J10" i="3" s="1"/>
  <c r="E30" i="3"/>
  <c r="J14" i="3" l="1"/>
  <c r="K44" i="3"/>
  <c r="F29" i="3"/>
  <c r="F30" i="3"/>
  <c r="K45" i="3" l="1"/>
  <c r="K20" i="3" s="1"/>
  <c r="K47" i="3"/>
  <c r="K18" i="3"/>
  <c r="G29" i="3"/>
  <c r="K21" i="3" l="1"/>
  <c r="K28" i="3" s="1"/>
  <c r="K46" i="3"/>
  <c r="G30" i="3"/>
  <c r="H30" i="3"/>
  <c r="H29" i="3"/>
  <c r="I30" i="3"/>
  <c r="I29" i="3"/>
  <c r="L43" i="3" l="1"/>
  <c r="K7" i="3"/>
  <c r="K10" i="3" s="1"/>
  <c r="K14" i="3" l="1"/>
  <c r="L44" i="3"/>
  <c r="L47" i="3" l="1"/>
  <c r="L18" i="3"/>
  <c r="K30" i="3"/>
  <c r="K29" i="3"/>
  <c r="L45" i="3"/>
  <c r="L20" i="3" s="1"/>
  <c r="L21" i="3" l="1"/>
  <c r="L28" i="3" s="1"/>
  <c r="L46" i="3"/>
  <c r="M43" i="3" s="1"/>
  <c r="J29" i="3"/>
  <c r="J30" i="3"/>
  <c r="L7" i="3" l="1"/>
  <c r="L10" i="3" s="1"/>
  <c r="M44" i="3"/>
  <c r="M45" i="3" s="1"/>
  <c r="L14" i="3" l="1"/>
  <c r="M46" i="3"/>
  <c r="M20" i="3"/>
  <c r="M18" i="3"/>
  <c r="M21" i="3" s="1"/>
  <c r="M47" i="3"/>
  <c r="L29" i="3" l="1"/>
  <c r="L30" i="3"/>
  <c r="N43" i="3"/>
  <c r="M28" i="3"/>
  <c r="M7" i="3"/>
  <c r="M10" i="3" s="1"/>
  <c r="M14" i="3" l="1"/>
  <c r="N44" i="3"/>
  <c r="N18" i="3" l="1"/>
  <c r="N47" i="3"/>
  <c r="M30" i="3"/>
  <c r="M29" i="3"/>
  <c r="N45" i="3"/>
  <c r="N21" i="3" l="1"/>
  <c r="N46" i="3"/>
  <c r="N20" i="3"/>
  <c r="N28" i="3" l="1"/>
  <c r="N7" i="3"/>
  <c r="N10" i="3" s="1"/>
  <c r="N14" i="3" l="1"/>
  <c r="N30" i="3" s="1"/>
  <c r="N29" i="3" l="1"/>
</calcChain>
</file>

<file path=xl/sharedStrings.xml><?xml version="1.0" encoding="utf-8"?>
<sst xmlns="http://schemas.openxmlformats.org/spreadsheetml/2006/main" count="110" uniqueCount="81">
  <si>
    <t>Sales</t>
  </si>
  <si>
    <t>PROJECTED</t>
  </si>
  <si>
    <t>Clients</t>
  </si>
  <si>
    <t xml:space="preserve">Total </t>
  </si>
  <si>
    <t>ACTUAL</t>
  </si>
  <si>
    <t>2020</t>
  </si>
  <si>
    <t>Income</t>
  </si>
  <si>
    <t>Expenses</t>
  </si>
  <si>
    <t>Total Cost of Goods Sold</t>
  </si>
  <si>
    <t>Gross Profit</t>
  </si>
  <si>
    <t>Gross Margin</t>
  </si>
  <si>
    <t>Legal Services</t>
  </si>
  <si>
    <t>Total Expenses</t>
  </si>
  <si>
    <t>Net Operating Income</t>
  </si>
  <si>
    <t>Net Income</t>
  </si>
  <si>
    <t>Net Income Margin</t>
  </si>
  <si>
    <t xml:space="preserve">Balance Sheet </t>
  </si>
  <si>
    <t>ASSETS</t>
  </si>
  <si>
    <t>Total Bank Accounts</t>
  </si>
  <si>
    <t>Prepaid Expenses</t>
  </si>
  <si>
    <t xml:space="preserve">   Refundable Deposits</t>
  </si>
  <si>
    <t>TOTAL ASSETS</t>
  </si>
  <si>
    <t>LIABILITIES AND EQUITY</t>
  </si>
  <si>
    <t xml:space="preserve">   Total Liabilities</t>
  </si>
  <si>
    <t>Equity</t>
  </si>
  <si>
    <t>Retained Earnings</t>
  </si>
  <si>
    <t>Distributions</t>
  </si>
  <si>
    <t>TOTAL LIABILITIES AND EQUITY</t>
  </si>
  <si>
    <t>Cash Flow</t>
  </si>
  <si>
    <t>Operations</t>
  </si>
  <si>
    <t>Net income</t>
  </si>
  <si>
    <t>Change in AR</t>
  </si>
  <si>
    <t>Change in AP</t>
  </si>
  <si>
    <t>Change in other current assets</t>
  </si>
  <si>
    <t>Cash from Operations</t>
  </si>
  <si>
    <t>Owner Distributions</t>
  </si>
  <si>
    <t xml:space="preserve">Cash Inflow/(Outflow) </t>
  </si>
  <si>
    <t>Customer 1</t>
  </si>
  <si>
    <t>Customer 2</t>
  </si>
  <si>
    <t>Customer 3</t>
  </si>
  <si>
    <t>Customer 4</t>
  </si>
  <si>
    <t>Customer 5</t>
  </si>
  <si>
    <t>Customer 6</t>
  </si>
  <si>
    <t>Customer 7</t>
  </si>
  <si>
    <t>Customer 8</t>
  </si>
  <si>
    <t>Customer 9</t>
  </si>
  <si>
    <t>Customer 10</t>
  </si>
  <si>
    <t>COGS</t>
  </si>
  <si>
    <t>Total COGS</t>
  </si>
  <si>
    <t>Total RevenueSales</t>
  </si>
  <si>
    <t>Company XX</t>
  </si>
  <si>
    <t xml:space="preserve">            Line of Credit (max $400,000)</t>
  </si>
  <si>
    <t xml:space="preserve">   New Investments </t>
  </si>
  <si>
    <t>Sales, Business Development &amp; Marketing</t>
  </si>
  <si>
    <t>Accounting Services</t>
  </si>
  <si>
    <t>Bank Charges</t>
  </si>
  <si>
    <t>Insurance</t>
  </si>
  <si>
    <t>Office Rent &amp; Expenses</t>
  </si>
  <si>
    <t>Other Administrative</t>
  </si>
  <si>
    <t>Recruiting</t>
  </si>
  <si>
    <t>Website Maintenance/Contingency</t>
  </si>
  <si>
    <t>Increase/(decrease) in Line of Credit</t>
  </si>
  <si>
    <t>Ending Cash Balance before Financing</t>
  </si>
  <si>
    <t xml:space="preserve">            Total Accounts Payable</t>
  </si>
  <si>
    <t>Total Paid in Capital</t>
  </si>
  <si>
    <t>Additional Unsourced Funding Requirement</t>
  </si>
  <si>
    <t>Ending Cash Balance After Financing (working minimum $50,000)</t>
  </si>
  <si>
    <t>Other miscellaneous</t>
  </si>
  <si>
    <t xml:space="preserve">ACTUAL </t>
  </si>
  <si>
    <t xml:space="preserve">PROJECTED </t>
  </si>
  <si>
    <t>COGs%</t>
  </si>
  <si>
    <t xml:space="preserve">INCOME STATEMENT               </t>
  </si>
  <si>
    <t>Total Accounts Receivable</t>
  </si>
  <si>
    <t>Total Current Assets</t>
  </si>
  <si>
    <t>Total Other Assets</t>
  </si>
  <si>
    <t>Current Liabilities</t>
  </si>
  <si>
    <t xml:space="preserve"> Other Liabilities</t>
  </si>
  <si>
    <t xml:space="preserve">     Other debt</t>
  </si>
  <si>
    <t>Total Equity</t>
  </si>
  <si>
    <t>Line of credit balance (ceiling $400,000)</t>
  </si>
  <si>
    <t>Planned Business Investment &amp; essential capital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</si>
</sst>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\-yy;@"/>
    <numFmt numFmtId="167" formatCode="[$-409]d\-mmm\-yy;@"/>
  </numFmts>
  <fonts count="21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2"/>
      <color indexed="8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u/>
      <sz val="12"/>
      <name val="Verdana"/>
      <family val="2"/>
    </font>
    <font>
      <b/>
      <u/>
      <sz val="12"/>
      <name val="Arial"/>
      <family val="2"/>
    </font>
    <font>
      <b/>
      <u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2" fillId="0" borderId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 vertical="center"/>
    </xf>
    <xf numFmtId="17" fontId="5" fillId="3" borderId="9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wrapText="1"/>
    </xf>
    <xf numFmtId="9" fontId="5" fillId="0" borderId="13" xfId="0" applyNumberFormat="1" applyFont="1" applyBorder="1" applyAlignment="1">
      <alignment horizontal="center"/>
    </xf>
    <xf numFmtId="164" fontId="7" fillId="2" borderId="5" xfId="0" applyNumberFormat="1" applyFont="1" applyFill="1" applyBorder="1"/>
    <xf numFmtId="164" fontId="7" fillId="3" borderId="5" xfId="0" applyNumberFormat="1" applyFont="1" applyFill="1" applyBorder="1"/>
    <xf numFmtId="164" fontId="5" fillId="3" borderId="5" xfId="1" applyNumberFormat="1" applyFont="1" applyFill="1" applyBorder="1"/>
    <xf numFmtId="164" fontId="7" fillId="2" borderId="10" xfId="0" applyNumberFormat="1" applyFont="1" applyFill="1" applyBorder="1"/>
    <xf numFmtId="164" fontId="7" fillId="3" borderId="10" xfId="0" applyNumberFormat="1" applyFont="1" applyFill="1" applyBorder="1"/>
    <xf numFmtId="164" fontId="5" fillId="3" borderId="10" xfId="1" applyNumberFormat="1" applyFont="1" applyFill="1" applyBorder="1"/>
    <xf numFmtId="164" fontId="5" fillId="3" borderId="1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0" xfId="0" applyFont="1"/>
    <xf numFmtId="164" fontId="0" fillId="0" borderId="0" xfId="0" applyNumberFormat="1"/>
    <xf numFmtId="164" fontId="2" fillId="0" borderId="0" xfId="0" applyNumberFormat="1" applyFont="1" applyFill="1" applyBorder="1"/>
    <xf numFmtId="164" fontId="2" fillId="0" borderId="0" xfId="0" applyNumberFormat="1" applyFont="1" applyFill="1"/>
    <xf numFmtId="0" fontId="2" fillId="3" borderId="5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164" fontId="2" fillId="0" borderId="5" xfId="3" applyNumberFormat="1" applyFont="1" applyFill="1" applyBorder="1"/>
    <xf numFmtId="0" fontId="0" fillId="0" borderId="10" xfId="0" applyBorder="1"/>
    <xf numFmtId="0" fontId="2" fillId="0" borderId="10" xfId="0" applyFont="1" applyFill="1" applyBorder="1"/>
    <xf numFmtId="0" fontId="4" fillId="0" borderId="0" xfId="0" applyFont="1" applyFill="1" applyBorder="1"/>
    <xf numFmtId="0" fontId="4" fillId="0" borderId="0" xfId="0" applyFont="1" applyBorder="1"/>
    <xf numFmtId="43" fontId="4" fillId="0" borderId="0" xfId="0" applyNumberFormat="1" applyFont="1" applyBorder="1"/>
    <xf numFmtId="0" fontId="8" fillId="3" borderId="3" xfId="0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8" fillId="3" borderId="1" xfId="0" quotePrefix="1" applyFont="1" applyFill="1" applyBorder="1" applyAlignment="1">
      <alignment horizontal="center" wrapText="1"/>
    </xf>
    <xf numFmtId="166" fontId="9" fillId="2" borderId="1" xfId="0" applyNumberFormat="1" applyFont="1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/>
    </xf>
    <xf numFmtId="166" fontId="9" fillId="3" borderId="16" xfId="0" applyNumberFormat="1" applyFont="1" applyFill="1" applyBorder="1" applyAlignment="1">
      <alignment horizontal="center"/>
    </xf>
    <xf numFmtId="166" fontId="9" fillId="3" borderId="1" xfId="0" quotePrefix="1" applyNumberFormat="1" applyFont="1" applyFill="1" applyBorder="1" applyAlignment="1">
      <alignment horizontal="center"/>
    </xf>
    <xf numFmtId="164" fontId="15" fillId="3" borderId="5" xfId="1" applyNumberFormat="1" applyFont="1" applyFill="1" applyBorder="1"/>
    <xf numFmtId="0" fontId="15" fillId="2" borderId="17" xfId="0" applyFont="1" applyFill="1" applyBorder="1"/>
    <xf numFmtId="0" fontId="15" fillId="3" borderId="17" xfId="0" applyFont="1" applyFill="1" applyBorder="1"/>
    <xf numFmtId="0" fontId="15" fillId="3" borderId="5" xfId="0" applyFont="1" applyFill="1" applyBorder="1"/>
    <xf numFmtId="164" fontId="15" fillId="3" borderId="10" xfId="1" applyNumberFormat="1" applyFont="1" applyFill="1" applyBorder="1" applyAlignment="1">
      <alignment horizontal="right" wrapText="1"/>
    </xf>
    <xf numFmtId="164" fontId="15" fillId="2" borderId="10" xfId="1" applyNumberFormat="1" applyFont="1" applyFill="1" applyBorder="1"/>
    <xf numFmtId="164" fontId="15" fillId="3" borderId="10" xfId="1" applyNumberFormat="1" applyFont="1" applyFill="1" applyBorder="1"/>
    <xf numFmtId="0" fontId="0" fillId="0" borderId="0" xfId="0" applyBorder="1"/>
    <xf numFmtId="43" fontId="0" fillId="0" borderId="0" xfId="0" applyNumberFormat="1"/>
    <xf numFmtId="164" fontId="8" fillId="2" borderId="1" xfId="1" applyNumberFormat="1" applyFont="1" applyFill="1" applyBorder="1" applyAlignment="1">
      <alignment horizontal="right" wrapText="1"/>
    </xf>
    <xf numFmtId="164" fontId="8" fillId="3" borderId="1" xfId="1" applyNumberFormat="1" applyFont="1" applyFill="1" applyBorder="1" applyAlignment="1">
      <alignment horizontal="right" wrapText="1"/>
    </xf>
    <xf numFmtId="164" fontId="8" fillId="3" borderId="5" xfId="1" applyNumberFormat="1" applyFont="1" applyFill="1" applyBorder="1" applyAlignment="1">
      <alignment horizontal="right" wrapText="1"/>
    </xf>
    <xf numFmtId="0" fontId="15" fillId="2" borderId="10" xfId="0" applyFont="1" applyFill="1" applyBorder="1"/>
    <xf numFmtId="0" fontId="15" fillId="3" borderId="11" xfId="0" applyFont="1" applyFill="1" applyBorder="1"/>
    <xf numFmtId="164" fontId="15" fillId="3" borderId="17" xfId="1" applyNumberFormat="1" applyFont="1" applyFill="1" applyBorder="1" applyAlignment="1">
      <alignment wrapText="1"/>
    </xf>
    <xf numFmtId="0" fontId="15" fillId="3" borderId="10" xfId="0" applyFont="1" applyFill="1" applyBorder="1"/>
    <xf numFmtId="164" fontId="0" fillId="0" borderId="0" xfId="1" applyNumberFormat="1" applyFont="1"/>
    <xf numFmtId="0" fontId="11" fillId="0" borderId="0" xfId="0" applyFont="1"/>
    <xf numFmtId="9" fontId="8" fillId="3" borderId="1" xfId="3" applyFont="1" applyFill="1" applyBorder="1" applyAlignment="1">
      <alignment horizontal="center" wrapText="1"/>
    </xf>
    <xf numFmtId="164" fontId="8" fillId="2" borderId="1" xfId="0" applyNumberFormat="1" applyFont="1" applyFill="1" applyBorder="1"/>
    <xf numFmtId="164" fontId="8" fillId="3" borderId="1" xfId="0" applyNumberFormat="1" applyFont="1" applyFill="1" applyBorder="1"/>
    <xf numFmtId="164" fontId="8" fillId="2" borderId="16" xfId="1" applyNumberFormat="1" applyFont="1" applyFill="1" applyBorder="1" applyAlignment="1">
      <alignment horizontal="right" wrapText="1"/>
    </xf>
    <xf numFmtId="164" fontId="8" fillId="3" borderId="16" xfId="1" applyNumberFormat="1" applyFont="1" applyFill="1" applyBorder="1" applyAlignment="1">
      <alignment horizontal="right" wrapText="1"/>
    </xf>
    <xf numFmtId="164" fontId="6" fillId="2" borderId="16" xfId="1" applyNumberFormat="1" applyFont="1" applyFill="1" applyBorder="1" applyAlignment="1">
      <alignment horizontal="right" wrapText="1"/>
    </xf>
    <xf numFmtId="164" fontId="6" fillId="3" borderId="16" xfId="1" applyNumberFormat="1" applyFont="1" applyFill="1" applyBorder="1" applyAlignment="1">
      <alignment horizontal="right" wrapText="1"/>
    </xf>
    <xf numFmtId="9" fontId="6" fillId="4" borderId="1" xfId="3" applyFont="1" applyFill="1" applyBorder="1" applyAlignment="1">
      <alignment horizontal="center" wrapText="1"/>
    </xf>
    <xf numFmtId="9" fontId="0" fillId="0" borderId="0" xfId="0" applyNumberFormat="1"/>
    <xf numFmtId="0" fontId="17" fillId="0" borderId="0" xfId="0" applyFont="1" applyFill="1" applyBorder="1" applyAlignment="1"/>
    <xf numFmtId="0" fontId="8" fillId="0" borderId="0" xfId="0" applyFont="1" applyBorder="1"/>
    <xf numFmtId="0" fontId="8" fillId="0" borderId="1" xfId="0" applyFont="1" applyBorder="1"/>
    <xf numFmtId="0" fontId="9" fillId="2" borderId="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167" fontId="9" fillId="2" borderId="1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17" fontId="9" fillId="3" borderId="1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 wrapText="1"/>
    </xf>
    <xf numFmtId="165" fontId="15" fillId="2" borderId="5" xfId="2" applyNumberFormat="1" applyFont="1" applyFill="1" applyBorder="1"/>
    <xf numFmtId="165" fontId="15" fillId="3" borderId="5" xfId="2" applyNumberFormat="1" applyFont="1" applyFill="1" applyBorder="1"/>
    <xf numFmtId="165" fontId="15" fillId="2" borderId="10" xfId="2" applyNumberFormat="1" applyFont="1" applyFill="1" applyBorder="1"/>
    <xf numFmtId="165" fontId="15" fillId="3" borderId="10" xfId="2" applyNumberFormat="1" applyFont="1" applyFill="1" applyBorder="1"/>
    <xf numFmtId="165" fontId="8" fillId="2" borderId="10" xfId="2" applyNumberFormat="1" applyFont="1" applyFill="1" applyBorder="1"/>
    <xf numFmtId="165" fontId="6" fillId="2" borderId="10" xfId="2" applyNumberFormat="1" applyFont="1" applyFill="1" applyBorder="1" applyAlignment="1">
      <alignment horizontal="right" wrapText="1"/>
    </xf>
    <xf numFmtId="165" fontId="6" fillId="3" borderId="10" xfId="2" applyNumberFormat="1" applyFont="1" applyFill="1" applyBorder="1" applyAlignment="1">
      <alignment horizontal="right" wrapText="1"/>
    </xf>
    <xf numFmtId="165" fontId="6" fillId="2" borderId="18" xfId="2" applyNumberFormat="1" applyFont="1" applyFill="1" applyBorder="1" applyAlignment="1">
      <alignment horizontal="right" wrapText="1"/>
    </xf>
    <xf numFmtId="165" fontId="6" fillId="3" borderId="18" xfId="2" applyNumberFormat="1" applyFont="1" applyFill="1" applyBorder="1" applyAlignment="1">
      <alignment horizontal="right" wrapText="1"/>
    </xf>
    <xf numFmtId="165" fontId="6" fillId="2" borderId="1" xfId="2" applyNumberFormat="1" applyFont="1" applyFill="1" applyBorder="1" applyAlignment="1">
      <alignment horizontal="right" wrapText="1"/>
    </xf>
    <xf numFmtId="165" fontId="6" fillId="3" borderId="1" xfId="2" applyNumberFormat="1" applyFont="1" applyFill="1" applyBorder="1" applyAlignment="1">
      <alignment horizontal="right" wrapText="1"/>
    </xf>
    <xf numFmtId="165" fontId="16" fillId="2" borderId="10" xfId="2" applyNumberFormat="1" applyFont="1" applyFill="1" applyBorder="1" applyAlignment="1">
      <alignment horizontal="right" wrapText="1"/>
    </xf>
    <xf numFmtId="165" fontId="16" fillId="3" borderId="10" xfId="2" applyNumberFormat="1" applyFont="1" applyFill="1" applyBorder="1" applyAlignment="1">
      <alignment horizontal="right" wrapText="1"/>
    </xf>
    <xf numFmtId="165" fontId="15" fillId="2" borderId="17" xfId="2" applyNumberFormat="1" applyFont="1" applyFill="1" applyBorder="1"/>
    <xf numFmtId="165" fontId="15" fillId="3" borderId="17" xfId="2" applyNumberFormat="1" applyFont="1" applyFill="1" applyBorder="1"/>
    <xf numFmtId="165" fontId="15" fillId="3" borderId="18" xfId="2" applyNumberFormat="1" applyFont="1" applyFill="1" applyBorder="1"/>
    <xf numFmtId="165" fontId="16" fillId="3" borderId="17" xfId="2" applyNumberFormat="1" applyFont="1" applyFill="1" applyBorder="1" applyAlignment="1">
      <alignment horizontal="right" wrapText="1"/>
    </xf>
    <xf numFmtId="165" fontId="6" fillId="2" borderId="17" xfId="2" applyNumberFormat="1" applyFont="1" applyFill="1" applyBorder="1" applyAlignment="1">
      <alignment horizontal="right" wrapText="1"/>
    </xf>
    <xf numFmtId="165" fontId="16" fillId="3" borderId="18" xfId="2" applyNumberFormat="1" applyFont="1" applyFill="1" applyBorder="1" applyAlignment="1">
      <alignment horizontal="right" wrapText="1"/>
    </xf>
    <xf numFmtId="164" fontId="0" fillId="0" borderId="0" xfId="1" applyNumberFormat="1" applyFont="1" applyFill="1"/>
    <xf numFmtId="164" fontId="11" fillId="3" borderId="0" xfId="1" applyNumberFormat="1" applyFont="1" applyFill="1"/>
    <xf numFmtId="43" fontId="11" fillId="3" borderId="0" xfId="1" applyNumberFormat="1" applyFont="1" applyFill="1"/>
    <xf numFmtId="165" fontId="2" fillId="0" borderId="0" xfId="0" applyNumberFormat="1" applyFont="1" applyFill="1"/>
    <xf numFmtId="166" fontId="5" fillId="2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center"/>
    </xf>
    <xf numFmtId="0" fontId="2" fillId="2" borderId="5" xfId="0" applyFont="1" applyFill="1" applyBorder="1"/>
    <xf numFmtId="164" fontId="7" fillId="2" borderId="17" xfId="1" applyNumberFormat="1" applyFont="1" applyFill="1" applyBorder="1"/>
    <xf numFmtId="164" fontId="7" fillId="2" borderId="10" xfId="1" applyNumberFormat="1" applyFont="1" applyFill="1" applyBorder="1"/>
    <xf numFmtId="164" fontId="7" fillId="3" borderId="10" xfId="1" applyNumberFormat="1" applyFont="1" applyFill="1" applyBorder="1"/>
    <xf numFmtId="164" fontId="5" fillId="2" borderId="1" xfId="1" applyNumberFormat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vertical="center"/>
    </xf>
    <xf numFmtId="164" fontId="5" fillId="2" borderId="10" xfId="1" applyNumberFormat="1" applyFont="1" applyFill="1" applyBorder="1" applyAlignment="1">
      <alignment vertical="center"/>
    </xf>
    <xf numFmtId="38" fontId="5" fillId="2" borderId="8" xfId="1" applyNumberFormat="1" applyFont="1" applyFill="1" applyBorder="1" applyAlignment="1">
      <alignment vertical="center"/>
    </xf>
    <xf numFmtId="38" fontId="5" fillId="3" borderId="8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3" fontId="11" fillId="0" borderId="0" xfId="0" applyNumberFormat="1" applyFont="1"/>
    <xf numFmtId="164" fontId="15" fillId="3" borderId="10" xfId="1" applyNumberFormat="1" applyFont="1" applyFill="1" applyBorder="1" applyAlignment="1">
      <alignment horizontal="right" vertical="center" wrapText="1"/>
    </xf>
    <xf numFmtId="166" fontId="5" fillId="2" borderId="2" xfId="1" applyNumberFormat="1" applyFont="1" applyFill="1" applyBorder="1" applyAlignment="1">
      <alignment horizontal="center"/>
    </xf>
    <xf numFmtId="0" fontId="5" fillId="0" borderId="1" xfId="0" applyFont="1" applyFill="1" applyBorder="1"/>
    <xf numFmtId="0" fontId="2" fillId="2" borderId="6" xfId="0" applyFont="1" applyFill="1" applyBorder="1"/>
    <xf numFmtId="164" fontId="7" fillId="2" borderId="12" xfId="1" applyNumberFormat="1" applyFont="1" applyFill="1" applyBorder="1"/>
    <xf numFmtId="164" fontId="5" fillId="2" borderId="2" xfId="1" applyNumberFormat="1" applyFont="1" applyFill="1" applyBorder="1" applyAlignment="1">
      <alignment vertical="center"/>
    </xf>
    <xf numFmtId="164" fontId="5" fillId="2" borderId="12" xfId="1" applyNumberFormat="1" applyFont="1" applyFill="1" applyBorder="1" applyAlignment="1">
      <alignment vertical="center"/>
    </xf>
    <xf numFmtId="38" fontId="5" fillId="2" borderId="2" xfId="1" applyNumberFormat="1" applyFont="1" applyFill="1" applyBorder="1" applyAlignment="1">
      <alignment vertical="center"/>
    </xf>
    <xf numFmtId="0" fontId="18" fillId="0" borderId="19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5" xfId="5" applyNumberFormat="1" applyFont="1" applyFill="1" applyBorder="1"/>
    <xf numFmtId="164" fontId="5" fillId="2" borderId="10" xfId="5" applyNumberFormat="1" applyFont="1" applyFill="1" applyBorder="1"/>
    <xf numFmtId="165" fontId="5" fillId="2" borderId="1" xfId="2" applyNumberFormat="1" applyFont="1" applyFill="1" applyBorder="1" applyAlignment="1">
      <alignment vertical="center"/>
    </xf>
    <xf numFmtId="164" fontId="2" fillId="0" borderId="10" xfId="1" applyNumberFormat="1" applyFont="1" applyFill="1" applyBorder="1"/>
    <xf numFmtId="165" fontId="16" fillId="2" borderId="18" xfId="2" applyNumberFormat="1" applyFont="1" applyFill="1" applyBorder="1" applyAlignment="1">
      <alignment horizontal="right" wrapText="1"/>
    </xf>
    <xf numFmtId="164" fontId="7" fillId="2" borderId="15" xfId="0" applyNumberFormat="1" applyFont="1" applyFill="1" applyBorder="1"/>
    <xf numFmtId="0" fontId="14" fillId="0" borderId="0" xfId="0" applyFont="1" applyBorder="1" applyAlignment="1">
      <alignment horizontal="center" vertical="center" wrapText="1"/>
    </xf>
    <xf numFmtId="0" fontId="9" fillId="0" borderId="20" xfId="0" applyFont="1" applyBorder="1" applyAlignment="1"/>
    <xf numFmtId="9" fontId="2" fillId="0" borderId="0" xfId="0" applyNumberFormat="1" applyFont="1"/>
    <xf numFmtId="164" fontId="5" fillId="2" borderId="15" xfId="5" applyNumberFormat="1" applyFont="1" applyFill="1" applyBorder="1"/>
    <xf numFmtId="164" fontId="15" fillId="2" borderId="10" xfId="1" applyNumberFormat="1" applyFont="1" applyFill="1" applyBorder="1" applyAlignment="1">
      <alignment vertical="center"/>
    </xf>
    <xf numFmtId="164" fontId="15" fillId="3" borderId="1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9" fontId="8" fillId="2" borderId="1" xfId="3" applyNumberFormat="1" applyFont="1" applyFill="1" applyBorder="1" applyAlignment="1">
      <alignment horizontal="center" wrapText="1"/>
    </xf>
    <xf numFmtId="9" fontId="8" fillId="3" borderId="1" xfId="3" applyNumberFormat="1" applyFont="1" applyFill="1" applyBorder="1" applyAlignment="1">
      <alignment horizontal="center" wrapText="1"/>
    </xf>
    <xf numFmtId="164" fontId="4" fillId="0" borderId="1" xfId="1" applyNumberFormat="1" applyFont="1" applyBorder="1"/>
    <xf numFmtId="164" fontId="7" fillId="2" borderId="14" xfId="1" applyNumberFormat="1" applyFont="1" applyFill="1" applyBorder="1" applyAlignment="1">
      <alignment vertical="center"/>
    </xf>
    <xf numFmtId="164" fontId="7" fillId="2" borderId="18" xfId="1" applyNumberFormat="1" applyFont="1" applyFill="1" applyBorder="1" applyAlignment="1">
      <alignment vertical="center"/>
    </xf>
    <xf numFmtId="164" fontId="7" fillId="3" borderId="18" xfId="1" applyNumberFormat="1" applyFont="1" applyFill="1" applyBorder="1" applyAlignment="1">
      <alignment vertical="center"/>
    </xf>
    <xf numFmtId="37" fontId="5" fillId="2" borderId="17" xfId="0" applyNumberFormat="1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38" fontId="5" fillId="3" borderId="17" xfId="1" applyNumberFormat="1" applyFont="1" applyFill="1" applyBorder="1" applyAlignment="1">
      <alignment vertical="center"/>
    </xf>
    <xf numFmtId="164" fontId="7" fillId="3" borderId="15" xfId="0" applyNumberFormat="1" applyFont="1" applyFill="1" applyBorder="1"/>
    <xf numFmtId="38" fontId="5" fillId="3" borderId="17" xfId="0" applyNumberFormat="1" applyFont="1" applyFill="1" applyBorder="1" applyAlignment="1">
      <alignment vertical="center"/>
    </xf>
    <xf numFmtId="38" fontId="5" fillId="5" borderId="8" xfId="1" applyNumberFormat="1" applyFont="1" applyFill="1" applyBorder="1" applyAlignment="1">
      <alignment vertical="center"/>
    </xf>
    <xf numFmtId="38" fontId="5" fillId="2" borderId="1" xfId="1" applyNumberFormat="1" applyFont="1" applyFill="1" applyBorder="1" applyAlignment="1">
      <alignment vertical="center"/>
    </xf>
    <xf numFmtId="38" fontId="5" fillId="3" borderId="1" xfId="1" applyNumberFormat="1" applyFont="1" applyFill="1" applyBorder="1" applyAlignment="1">
      <alignment vertical="center"/>
    </xf>
    <xf numFmtId="165" fontId="0" fillId="0" borderId="0" xfId="0" applyNumberFormat="1"/>
    <xf numFmtId="9" fontId="0" fillId="0" borderId="0" xfId="3" applyFont="1"/>
    <xf numFmtId="9" fontId="6" fillId="3" borderId="1" xfId="3" applyNumberFormat="1" applyFont="1" applyFill="1" applyBorder="1" applyAlignment="1">
      <alignment horizontal="center" wrapText="1"/>
    </xf>
    <xf numFmtId="9" fontId="6" fillId="2" borderId="1" xfId="3" applyNumberFormat="1" applyFont="1" applyFill="1" applyBorder="1" applyAlignment="1">
      <alignment horizontal="center" wrapText="1"/>
    </xf>
    <xf numFmtId="17" fontId="5" fillId="2" borderId="16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/>
    </xf>
    <xf numFmtId="165" fontId="5" fillId="3" borderId="1" xfId="2" applyNumberFormat="1" applyFont="1" applyFill="1" applyBorder="1" applyAlignment="1">
      <alignment vertical="center"/>
    </xf>
    <xf numFmtId="164" fontId="5" fillId="3" borderId="15" xfId="1" applyNumberFormat="1" applyFont="1" applyFill="1" applyBorder="1"/>
    <xf numFmtId="0" fontId="8" fillId="0" borderId="1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0" fillId="0" borderId="19" xfId="0" applyFont="1" applyBorder="1" applyAlignment="1">
      <alignment horizontal="left" wrapText="1"/>
    </xf>
    <xf numFmtId="0" fontId="15" fillId="0" borderId="0" xfId="0" applyFont="1"/>
    <xf numFmtId="0" fontId="6" fillId="0" borderId="0" xfId="0" applyFont="1" applyFill="1" applyBorder="1" applyAlignment="1"/>
    <xf numFmtId="0" fontId="7" fillId="0" borderId="16" xfId="0" applyFont="1" applyFill="1" applyBorder="1"/>
    <xf numFmtId="0" fontId="16" fillId="0" borderId="10" xfId="0" applyFont="1" applyBorder="1" applyAlignment="1">
      <alignment horizontal="left" wrapText="1"/>
    </xf>
    <xf numFmtId="0" fontId="5" fillId="0" borderId="19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6" fillId="0" borderId="11" xfId="0" applyFont="1" applyBorder="1" applyAlignment="1">
      <alignment wrapText="1"/>
    </xf>
    <xf numFmtId="165" fontId="8" fillId="2" borderId="18" xfId="2" applyNumberFormat="1" applyFont="1" applyFill="1" applyBorder="1"/>
    <xf numFmtId="0" fontId="6" fillId="0" borderId="1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wrapText="1"/>
    </xf>
    <xf numFmtId="0" fontId="16" fillId="0" borderId="18" xfId="0" applyFont="1" applyBorder="1" applyAlignment="1">
      <alignment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165" fontId="8" fillId="2" borderId="17" xfId="2" applyNumberFormat="1" applyFont="1" applyFill="1" applyBorder="1"/>
    <xf numFmtId="165" fontId="16" fillId="2" borderId="17" xfId="2" applyNumberFormat="1" applyFont="1" applyFill="1" applyBorder="1" applyAlignment="1">
      <alignment horizontal="right" wrapText="1"/>
    </xf>
    <xf numFmtId="165" fontId="8" fillId="2" borderId="5" xfId="2" applyNumberFormat="1" applyFont="1" applyFill="1" applyBorder="1"/>
    <xf numFmtId="0" fontId="15" fillId="0" borderId="17" xfId="0" applyFont="1" applyFill="1" applyBorder="1" applyAlignment="1">
      <alignment wrapText="1"/>
    </xf>
    <xf numFmtId="0" fontId="15" fillId="0" borderId="10" xfId="0" applyFont="1" applyFill="1" applyBorder="1" applyAlignment="1">
      <alignment wrapText="1"/>
    </xf>
    <xf numFmtId="0" fontId="15" fillId="0" borderId="1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38" fontId="5" fillId="5" borderId="2" xfId="1" applyNumberFormat="1" applyFont="1" applyFill="1" applyBorder="1" applyAlignment="1">
      <alignment vertical="center"/>
    </xf>
    <xf numFmtId="0" fontId="8" fillId="0" borderId="1" xfId="0" applyFont="1" applyFill="1" applyBorder="1"/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</cellXfs>
  <cellStyles count="25">
    <cellStyle name="Comma" xfId="1" builtinId="3"/>
    <cellStyle name="Comma [0] 2" xfId="4"/>
    <cellStyle name="Comma 2" xfId="5"/>
    <cellStyle name="Comma 3" xfId="6"/>
    <cellStyle name="Comma 4" xfId="7"/>
    <cellStyle name="Comma 4 2" xfId="8"/>
    <cellStyle name="Comma 5" xfId="9"/>
    <cellStyle name="Comma 5 2" xfId="10"/>
    <cellStyle name="Comma 6" xfId="11"/>
    <cellStyle name="Comma 7" xfId="12"/>
    <cellStyle name="Currency" xfId="2" builtinId="4"/>
    <cellStyle name="Currency [0] 2" xfId="13"/>
    <cellStyle name="Currency 2" xfId="14"/>
    <cellStyle name="Currency 3" xfId="15"/>
    <cellStyle name="Normal" xfId="0" builtinId="0"/>
    <cellStyle name="Normal 2" xfId="16"/>
    <cellStyle name="Normal 2 2" xfId="17"/>
    <cellStyle name="Normal 3" xfId="18"/>
    <cellStyle name="Normal 3 2" xfId="19"/>
    <cellStyle name="Normal 4" xfId="20"/>
    <cellStyle name="Normal 5" xfId="21"/>
    <cellStyle name="Percent" xfId="3" builtinId="5"/>
    <cellStyle name="Percent 2" xfId="22"/>
    <cellStyle name="Percent 3" xfId="23"/>
    <cellStyle name="Percent 3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Documents/Beacon%20CFO/BCFOP%20fin%20fcast/BCFOP%20EXPECTED%20CASE%202020%20032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venue"/>
      <sheetName val="wkly cash flow"/>
      <sheetName val="BCFOP AR"/>
      <sheetName val="QBP&amp;LJan15-Dec 19"/>
      <sheetName val="QBP&amp;LJan15-Dec 19 adj"/>
      <sheetName val="QB BS "/>
      <sheetName val="QB BS  adj"/>
      <sheetName val="2020 Plan Rev"/>
      <sheetName val="2020 allocation"/>
      <sheetName val="Sheet2"/>
    </sheetNames>
    <sheetDataSet>
      <sheetData sheetId="0">
        <row r="76">
          <cell r="C76">
            <v>0.6</v>
          </cell>
        </row>
      </sheetData>
      <sheetData sheetId="1"/>
      <sheetData sheetId="2">
        <row r="15">
          <cell r="FL15">
            <v>95870.59</v>
          </cell>
        </row>
      </sheetData>
      <sheetData sheetId="3"/>
      <sheetData sheetId="4">
        <row r="46">
          <cell r="H46">
            <v>6861.6800000000012</v>
          </cell>
        </row>
      </sheetData>
      <sheetData sheetId="5">
        <row r="46">
          <cell r="I46">
            <v>9712.69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9"/>
  <sheetViews>
    <sheetView zoomScale="110" zoomScaleNormal="110" workbookViewId="0">
      <pane xSplit="2" ySplit="3" topLeftCell="C4" activePane="bottomRight" state="frozen"/>
      <selection pane="topRight" activeCell="H1" sqref="H1"/>
      <selection pane="bottomLeft" activeCell="A4" sqref="A4"/>
      <selection pane="bottomRight" activeCell="E32" sqref="E32"/>
    </sheetView>
  </sheetViews>
  <sheetFormatPr defaultColWidth="8.7109375" defaultRowHeight="12.75" x14ac:dyDescent="0.2"/>
  <cols>
    <col min="1" max="1" width="39" style="1" customWidth="1"/>
    <col min="2" max="2" width="12.7109375" style="1" customWidth="1"/>
    <col min="3" max="13" width="16.85546875" style="1" bestFit="1" customWidth="1"/>
    <col min="14" max="14" width="15.140625" style="1" bestFit="1" customWidth="1"/>
    <col min="15" max="15" width="19.7109375" style="1" customWidth="1"/>
    <col min="16" max="16" width="20" style="1" customWidth="1"/>
    <col min="17" max="16384" width="8.7109375" style="1"/>
  </cols>
  <sheetData>
    <row r="1" spans="1:18" ht="18.75" thickBot="1" x14ac:dyDescent="0.3">
      <c r="A1" s="69" t="s">
        <v>50</v>
      </c>
      <c r="G1" s="133"/>
    </row>
    <row r="2" spans="1:18" ht="43.5" customHeight="1" thickTop="1" thickBot="1" x14ac:dyDescent="0.25">
      <c r="A2" s="2" t="s">
        <v>0</v>
      </c>
      <c r="B2" s="3"/>
      <c r="C2" s="179" t="s">
        <v>68</v>
      </c>
      <c r="D2" s="180"/>
      <c r="E2" s="181" t="s">
        <v>69</v>
      </c>
      <c r="F2" s="182"/>
      <c r="G2" s="182"/>
      <c r="H2" s="182"/>
      <c r="I2" s="182"/>
      <c r="J2" s="182"/>
      <c r="K2" s="182"/>
      <c r="L2" s="182"/>
      <c r="M2" s="182"/>
      <c r="N2" s="183"/>
      <c r="O2" s="5" t="s">
        <v>1</v>
      </c>
      <c r="P2" s="123" t="s">
        <v>4</v>
      </c>
    </row>
    <row r="3" spans="1:18" s="6" customFormat="1" ht="45" customHeight="1" thickTop="1" thickBot="1" x14ac:dyDescent="0.25">
      <c r="A3" s="220" t="s">
        <v>2</v>
      </c>
      <c r="B3" s="7" t="s">
        <v>70</v>
      </c>
      <c r="C3" s="8">
        <v>43831</v>
      </c>
      <c r="D3" s="8">
        <f>DATE(YEAR(C3),MONTH(C3)+1,DAY(C3))</f>
        <v>43862</v>
      </c>
      <c r="E3" s="9">
        <f>DATE(YEAR(D3),MONTH(D3)+1,DAY(D3))</f>
        <v>43891</v>
      </c>
      <c r="F3" s="9">
        <f t="shared" ref="F3:N3" si="0">DATE(YEAR(E3),MONTH(E3)+1,DAY(E3))</f>
        <v>43922</v>
      </c>
      <c r="G3" s="9">
        <f t="shared" si="0"/>
        <v>43952</v>
      </c>
      <c r="H3" s="9">
        <f>DATE(YEAR(G3),MONTH(G3)+1,DAY(G3))</f>
        <v>43983</v>
      </c>
      <c r="I3" s="9">
        <f t="shared" si="0"/>
        <v>44013</v>
      </c>
      <c r="J3" s="9">
        <f t="shared" si="0"/>
        <v>44044</v>
      </c>
      <c r="K3" s="9">
        <f t="shared" si="0"/>
        <v>44075</v>
      </c>
      <c r="L3" s="9">
        <f t="shared" si="0"/>
        <v>44105</v>
      </c>
      <c r="M3" s="9">
        <f t="shared" si="0"/>
        <v>44136</v>
      </c>
      <c r="N3" s="9">
        <f t="shared" si="0"/>
        <v>44166</v>
      </c>
      <c r="O3" s="10">
        <v>2020</v>
      </c>
      <c r="P3" s="124">
        <v>2019</v>
      </c>
    </row>
    <row r="4" spans="1:18" ht="16.5" thickTop="1" x14ac:dyDescent="0.25">
      <c r="A4" s="11" t="s">
        <v>37</v>
      </c>
      <c r="B4" s="12">
        <v>0.6</v>
      </c>
      <c r="C4" s="13">
        <v>40000</v>
      </c>
      <c r="D4" s="13">
        <v>40000</v>
      </c>
      <c r="E4" s="14">
        <v>32000</v>
      </c>
      <c r="F4" s="14">
        <v>25600</v>
      </c>
      <c r="G4" s="14">
        <v>24565</v>
      </c>
      <c r="H4" s="14">
        <v>20900</v>
      </c>
      <c r="I4" s="14">
        <v>17750</v>
      </c>
      <c r="J4" s="14">
        <v>15100</v>
      </c>
      <c r="K4" s="14">
        <v>12800</v>
      </c>
      <c r="L4" s="14">
        <v>10899.621001562498</v>
      </c>
      <c r="M4" s="14">
        <v>9300</v>
      </c>
      <c r="N4" s="14">
        <v>7900</v>
      </c>
      <c r="O4" s="15">
        <f>SUM(C4:N4)</f>
        <v>256814.62100156251</v>
      </c>
      <c r="P4" s="125">
        <v>480000</v>
      </c>
    </row>
    <row r="5" spans="1:18" ht="15.75" x14ac:dyDescent="0.25">
      <c r="A5" s="11" t="s">
        <v>38</v>
      </c>
      <c r="B5" s="12">
        <v>0.6</v>
      </c>
      <c r="C5" s="16">
        <v>41000</v>
      </c>
      <c r="D5" s="16">
        <v>41000</v>
      </c>
      <c r="E5" s="17">
        <v>32800</v>
      </c>
      <c r="F5" s="17">
        <v>26240</v>
      </c>
      <c r="G5" s="17">
        <v>25200</v>
      </c>
      <c r="H5" s="17">
        <v>21400</v>
      </c>
      <c r="I5" s="17">
        <v>18200</v>
      </c>
      <c r="J5" s="17">
        <v>15500</v>
      </c>
      <c r="K5" s="17">
        <v>13100</v>
      </c>
      <c r="L5" s="17">
        <v>11200</v>
      </c>
      <c r="M5" s="17">
        <v>9500</v>
      </c>
      <c r="N5" s="17">
        <v>8000</v>
      </c>
      <c r="O5" s="18">
        <f t="shared" ref="O5:O13" si="1">SUM(C5:N5)</f>
        <v>263140</v>
      </c>
      <c r="P5" s="126">
        <v>492000</v>
      </c>
      <c r="R5" s="133"/>
    </row>
    <row r="6" spans="1:18" ht="15.75" x14ac:dyDescent="0.25">
      <c r="A6" s="11" t="s">
        <v>39</v>
      </c>
      <c r="B6" s="12">
        <v>0.6</v>
      </c>
      <c r="C6" s="16">
        <v>42000</v>
      </c>
      <c r="D6" s="16">
        <v>42000</v>
      </c>
      <c r="E6" s="17">
        <v>33600</v>
      </c>
      <c r="F6" s="17">
        <v>26880</v>
      </c>
      <c r="G6" s="17">
        <v>25800</v>
      </c>
      <c r="H6" s="17">
        <v>22000</v>
      </c>
      <c r="I6" s="17">
        <v>18600</v>
      </c>
      <c r="J6" s="17">
        <v>15900</v>
      </c>
      <c r="K6" s="17">
        <v>13500</v>
      </c>
      <c r="L6" s="17">
        <v>11500</v>
      </c>
      <c r="M6" s="17">
        <v>9700</v>
      </c>
      <c r="N6" s="17">
        <v>8300</v>
      </c>
      <c r="O6" s="18">
        <f t="shared" si="1"/>
        <v>269780</v>
      </c>
      <c r="P6" s="126">
        <v>504000</v>
      </c>
    </row>
    <row r="7" spans="1:18" ht="15.75" x14ac:dyDescent="0.25">
      <c r="A7" s="11" t="s">
        <v>40</v>
      </c>
      <c r="B7" s="12">
        <v>0.6</v>
      </c>
      <c r="C7" s="16">
        <v>43000</v>
      </c>
      <c r="D7" s="16">
        <v>43000</v>
      </c>
      <c r="E7" s="17">
        <v>34400</v>
      </c>
      <c r="F7" s="17">
        <v>27520</v>
      </c>
      <c r="G7" s="17">
        <v>26400</v>
      </c>
      <c r="H7" s="17">
        <v>22500</v>
      </c>
      <c r="I7" s="17">
        <v>19100</v>
      </c>
      <c r="J7" s="17">
        <v>16200</v>
      </c>
      <c r="K7" s="17">
        <v>13800</v>
      </c>
      <c r="L7" s="17">
        <v>11700</v>
      </c>
      <c r="M7" s="17">
        <v>10000</v>
      </c>
      <c r="N7" s="17">
        <v>8500</v>
      </c>
      <c r="O7" s="18">
        <f t="shared" si="1"/>
        <v>276120</v>
      </c>
      <c r="P7" s="126">
        <v>516000</v>
      </c>
    </row>
    <row r="8" spans="1:18" ht="15.75" x14ac:dyDescent="0.25">
      <c r="A8" s="11" t="s">
        <v>41</v>
      </c>
      <c r="B8" s="12">
        <v>0.6</v>
      </c>
      <c r="C8" s="16">
        <v>44000</v>
      </c>
      <c r="D8" s="16">
        <v>44000</v>
      </c>
      <c r="E8" s="17">
        <v>35200</v>
      </c>
      <c r="F8" s="17">
        <v>28160</v>
      </c>
      <c r="G8" s="17">
        <v>27000</v>
      </c>
      <c r="H8" s="17">
        <v>23000</v>
      </c>
      <c r="I8" s="17">
        <v>10500</v>
      </c>
      <c r="J8" s="17">
        <v>16600</v>
      </c>
      <c r="K8" s="17">
        <v>14100</v>
      </c>
      <c r="L8" s="17">
        <v>12000</v>
      </c>
      <c r="M8" s="17">
        <v>10200</v>
      </c>
      <c r="N8" s="17">
        <v>8700</v>
      </c>
      <c r="O8" s="18">
        <f t="shared" si="1"/>
        <v>273460</v>
      </c>
      <c r="P8" s="126">
        <v>528000</v>
      </c>
    </row>
    <row r="9" spans="1:18" ht="15.75" x14ac:dyDescent="0.25">
      <c r="A9" s="11" t="s">
        <v>42</v>
      </c>
      <c r="B9" s="12">
        <v>0.6</v>
      </c>
      <c r="C9" s="16">
        <v>45000</v>
      </c>
      <c r="D9" s="16">
        <v>45000</v>
      </c>
      <c r="E9" s="17">
        <v>36000</v>
      </c>
      <c r="F9" s="17">
        <v>28800</v>
      </c>
      <c r="G9" s="17">
        <v>27600</v>
      </c>
      <c r="H9" s="17">
        <v>23500</v>
      </c>
      <c r="I9" s="17">
        <v>20000</v>
      </c>
      <c r="J9" s="17">
        <v>17000</v>
      </c>
      <c r="K9" s="17">
        <v>14400</v>
      </c>
      <c r="L9" s="17">
        <v>12300</v>
      </c>
      <c r="M9" s="17">
        <v>10400</v>
      </c>
      <c r="N9" s="17">
        <v>8900</v>
      </c>
      <c r="O9" s="18">
        <f t="shared" si="1"/>
        <v>288900</v>
      </c>
      <c r="P9" s="126">
        <v>540000</v>
      </c>
    </row>
    <row r="10" spans="1:18" s="20" customFormat="1" ht="15.75" x14ac:dyDescent="0.25">
      <c r="A10" s="11" t="s">
        <v>43</v>
      </c>
      <c r="B10" s="12">
        <v>0.6</v>
      </c>
      <c r="C10" s="16">
        <v>46000</v>
      </c>
      <c r="D10" s="16">
        <v>46000</v>
      </c>
      <c r="E10" s="17">
        <v>36800</v>
      </c>
      <c r="F10" s="17">
        <v>29440</v>
      </c>
      <c r="G10" s="17">
        <v>28249.75</v>
      </c>
      <c r="H10" s="17">
        <v>24000</v>
      </c>
      <c r="I10" s="17">
        <v>20500</v>
      </c>
      <c r="J10" s="17">
        <v>17400</v>
      </c>
      <c r="K10" s="17">
        <v>14750</v>
      </c>
      <c r="L10" s="17">
        <v>12500</v>
      </c>
      <c r="M10" s="17">
        <v>10600</v>
      </c>
      <c r="N10" s="17">
        <v>9100</v>
      </c>
      <c r="O10" s="18">
        <f t="shared" si="1"/>
        <v>295339.75</v>
      </c>
      <c r="P10" s="126">
        <v>552000</v>
      </c>
    </row>
    <row r="11" spans="1:18" ht="15" customHeight="1" x14ac:dyDescent="0.25">
      <c r="A11" s="11" t="s">
        <v>44</v>
      </c>
      <c r="B11" s="12">
        <v>0.6</v>
      </c>
      <c r="C11" s="16">
        <v>47000</v>
      </c>
      <c r="D11" s="16">
        <v>47000</v>
      </c>
      <c r="E11" s="17">
        <v>37600</v>
      </c>
      <c r="F11" s="17">
        <v>30080</v>
      </c>
      <c r="G11" s="17">
        <v>28900</v>
      </c>
      <c r="H11" s="17">
        <v>24500</v>
      </c>
      <c r="I11" s="17">
        <v>20900</v>
      </c>
      <c r="J11" s="17">
        <v>17700</v>
      </c>
      <c r="K11" s="17">
        <v>15100</v>
      </c>
      <c r="L11" s="17">
        <v>12800</v>
      </c>
      <c r="M11" s="17">
        <v>10900</v>
      </c>
      <c r="N11" s="17">
        <v>9300</v>
      </c>
      <c r="O11" s="18">
        <f t="shared" si="1"/>
        <v>301780</v>
      </c>
      <c r="P11" s="126">
        <v>564000</v>
      </c>
    </row>
    <row r="12" spans="1:18" ht="15" customHeight="1" x14ac:dyDescent="0.25">
      <c r="A12" s="11" t="s">
        <v>45</v>
      </c>
      <c r="B12" s="12">
        <v>0.6</v>
      </c>
      <c r="C12" s="16">
        <v>48000</v>
      </c>
      <c r="D12" s="16">
        <v>48000</v>
      </c>
      <c r="E12" s="17">
        <v>38400</v>
      </c>
      <c r="F12" s="17">
        <v>30720</v>
      </c>
      <c r="G12" s="17">
        <v>29500</v>
      </c>
      <c r="H12" s="17">
        <v>25000</v>
      </c>
      <c r="I12" s="17">
        <v>21300</v>
      </c>
      <c r="J12" s="17">
        <v>18100</v>
      </c>
      <c r="K12" s="17">
        <v>15400</v>
      </c>
      <c r="L12" s="17">
        <v>13100</v>
      </c>
      <c r="M12" s="17">
        <v>11100</v>
      </c>
      <c r="N12" s="17">
        <v>9449.971408354686</v>
      </c>
      <c r="O12" s="18">
        <f t="shared" si="1"/>
        <v>308069.9714083547</v>
      </c>
      <c r="P12" s="126">
        <v>576000</v>
      </c>
    </row>
    <row r="13" spans="1:18" ht="16.5" thickBot="1" x14ac:dyDescent="0.3">
      <c r="A13" s="11" t="s">
        <v>46</v>
      </c>
      <c r="B13" s="12">
        <v>0.6</v>
      </c>
      <c r="C13" s="130">
        <v>49000</v>
      </c>
      <c r="D13" s="130">
        <v>49000</v>
      </c>
      <c r="E13" s="148">
        <v>39200</v>
      </c>
      <c r="F13" s="148">
        <v>31360</v>
      </c>
      <c r="G13" s="148">
        <v>30000</v>
      </c>
      <c r="H13" s="148">
        <v>25600</v>
      </c>
      <c r="I13" s="148">
        <v>21700</v>
      </c>
      <c r="J13" s="148">
        <v>18500</v>
      </c>
      <c r="K13" s="148">
        <v>15700</v>
      </c>
      <c r="L13" s="148">
        <v>13300</v>
      </c>
      <c r="M13" s="148">
        <v>11300</v>
      </c>
      <c r="N13" s="148">
        <v>9650</v>
      </c>
      <c r="O13" s="160">
        <f t="shared" si="1"/>
        <v>314310</v>
      </c>
      <c r="P13" s="134">
        <v>588000</v>
      </c>
    </row>
    <row r="14" spans="1:18" ht="24.75" customHeight="1" thickTop="1" thickBot="1" x14ac:dyDescent="0.25">
      <c r="A14" s="221" t="s">
        <v>3</v>
      </c>
      <c r="B14" s="21"/>
      <c r="C14" s="127">
        <f t="shared" ref="C14:N14" si="2">SUM(C4:C13)</f>
        <v>445000</v>
      </c>
      <c r="D14" s="127">
        <f t="shared" si="2"/>
        <v>445000</v>
      </c>
      <c r="E14" s="159">
        <f t="shared" si="2"/>
        <v>356000</v>
      </c>
      <c r="F14" s="159">
        <f t="shared" si="2"/>
        <v>284800</v>
      </c>
      <c r="G14" s="159">
        <f t="shared" si="2"/>
        <v>273214.75</v>
      </c>
      <c r="H14" s="159">
        <f t="shared" si="2"/>
        <v>232400</v>
      </c>
      <c r="I14" s="159">
        <f t="shared" si="2"/>
        <v>188550</v>
      </c>
      <c r="J14" s="159">
        <f t="shared" si="2"/>
        <v>168000</v>
      </c>
      <c r="K14" s="159">
        <f t="shared" si="2"/>
        <v>142650</v>
      </c>
      <c r="L14" s="159">
        <f t="shared" si="2"/>
        <v>121299.6210015625</v>
      </c>
      <c r="M14" s="159">
        <f t="shared" si="2"/>
        <v>103000</v>
      </c>
      <c r="N14" s="159">
        <f t="shared" si="2"/>
        <v>87799.971408354686</v>
      </c>
      <c r="O14" s="159">
        <f>SUM(O4:O13)+1</f>
        <v>2847715.3424099172</v>
      </c>
      <c r="P14" s="127">
        <f>SUM(P4:P13)</f>
        <v>5340000</v>
      </c>
    </row>
    <row r="15" spans="1:18" customFormat="1" ht="13.5" thickTop="1" x14ac:dyDescent="0.2">
      <c r="A15" s="22"/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1"/>
    </row>
    <row r="16" spans="1:18" customFormat="1" ht="13.5" thickBot="1" x14ac:dyDescent="0.25">
      <c r="A16" s="22"/>
      <c r="B16" s="2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1"/>
    </row>
    <row r="17" spans="1:16" customFormat="1" ht="16.5" customHeight="1" thickTop="1" thickBot="1" x14ac:dyDescent="0.25">
      <c r="A17" s="177" t="s">
        <v>47</v>
      </c>
      <c r="B17" s="22"/>
      <c r="C17" s="179" t="s">
        <v>68</v>
      </c>
      <c r="D17" s="180"/>
      <c r="E17" s="181" t="s">
        <v>69</v>
      </c>
      <c r="F17" s="182"/>
      <c r="G17" s="182"/>
      <c r="H17" s="182"/>
      <c r="I17" s="182"/>
      <c r="J17" s="182"/>
      <c r="K17" s="182"/>
      <c r="L17" s="182"/>
      <c r="M17" s="182"/>
      <c r="N17" s="183"/>
      <c r="O17" s="4" t="s">
        <v>1</v>
      </c>
    </row>
    <row r="18" spans="1:16" s="27" customFormat="1" ht="16.5" thickTop="1" thickBot="1" x14ac:dyDescent="0.25">
      <c r="A18" s="178"/>
      <c r="C18" s="157">
        <v>43831</v>
      </c>
      <c r="D18" s="8">
        <f>DATE(YEAR(C18),MONTH(C18)+1,DAY(C18))</f>
        <v>43862</v>
      </c>
      <c r="E18" s="9">
        <f>DATE(YEAR(D18),MONTH(D18)+1,DAY(D18))</f>
        <v>43891</v>
      </c>
      <c r="F18" s="9">
        <f t="shared" ref="F18" si="3">DATE(YEAR(E18),MONTH(E18)+1,DAY(E18))</f>
        <v>43922</v>
      </c>
      <c r="G18" s="9">
        <f t="shared" ref="G18" si="4">DATE(YEAR(F18),MONTH(F18)+1,DAY(F18))</f>
        <v>43952</v>
      </c>
      <c r="H18" s="9">
        <f>DATE(YEAR(G18),MONTH(G18)+1,DAY(G18))</f>
        <v>43983</v>
      </c>
      <c r="I18" s="9">
        <f t="shared" ref="I18" si="5">DATE(YEAR(H18),MONTH(H18)+1,DAY(H18))</f>
        <v>44013</v>
      </c>
      <c r="J18" s="9">
        <f t="shared" ref="J18" si="6">DATE(YEAR(I18),MONTH(I18)+1,DAY(I18))</f>
        <v>44044</v>
      </c>
      <c r="K18" s="9">
        <f t="shared" ref="K18" si="7">DATE(YEAR(J18),MONTH(J18)+1,DAY(J18))</f>
        <v>44075</v>
      </c>
      <c r="L18" s="9">
        <f t="shared" ref="L18" si="8">DATE(YEAR(K18),MONTH(K18)+1,DAY(K18))</f>
        <v>44105</v>
      </c>
      <c r="M18" s="9">
        <f t="shared" ref="M18" si="9">DATE(YEAR(L18),MONTH(L18)+1,DAY(L18))</f>
        <v>44136</v>
      </c>
      <c r="N18" s="9">
        <f t="shared" ref="N18" si="10">DATE(YEAR(M18),MONTH(M18)+1,DAY(M18))</f>
        <v>44166</v>
      </c>
      <c r="O18" s="10">
        <v>2020</v>
      </c>
    </row>
    <row r="19" spans="1:16" s="27" customFormat="1" ht="13.5" customHeight="1" thickTop="1" x14ac:dyDescent="0.2">
      <c r="A19" s="15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8"/>
      <c r="P19" s="24"/>
    </row>
    <row r="20" spans="1:16" s="27" customFormat="1" ht="15.75" x14ac:dyDescent="0.25">
      <c r="A20" s="11" t="s">
        <v>37</v>
      </c>
      <c r="B20" s="30"/>
      <c r="C20" s="128">
        <f t="shared" ref="C20:N20" si="11">C4*$B4</f>
        <v>24000</v>
      </c>
      <c r="D20" s="128">
        <f t="shared" si="11"/>
        <v>24000</v>
      </c>
      <c r="E20" s="128">
        <f t="shared" si="11"/>
        <v>19200</v>
      </c>
      <c r="F20" s="128">
        <f t="shared" si="11"/>
        <v>15360</v>
      </c>
      <c r="G20" s="128">
        <f t="shared" si="11"/>
        <v>14739</v>
      </c>
      <c r="H20" s="128">
        <f t="shared" si="11"/>
        <v>12540</v>
      </c>
      <c r="I20" s="128">
        <f t="shared" si="11"/>
        <v>10650</v>
      </c>
      <c r="J20" s="128">
        <f t="shared" si="11"/>
        <v>9060</v>
      </c>
      <c r="K20" s="128">
        <f t="shared" si="11"/>
        <v>7680</v>
      </c>
      <c r="L20" s="128">
        <f t="shared" si="11"/>
        <v>6539.7726009374992</v>
      </c>
      <c r="M20" s="128">
        <f t="shared" si="11"/>
        <v>5580</v>
      </c>
      <c r="N20" s="128">
        <f t="shared" si="11"/>
        <v>4740</v>
      </c>
      <c r="O20" s="128">
        <f t="shared" ref="O20:O29" si="12">SUM(C20:N20)</f>
        <v>154088.77260093749</v>
      </c>
    </row>
    <row r="21" spans="1:16" s="27" customFormat="1" ht="15.75" x14ac:dyDescent="0.25">
      <c r="A21" s="11" t="s">
        <v>38</v>
      </c>
      <c r="B21" s="30"/>
      <c r="C21" s="128">
        <f t="shared" ref="C21:N21" si="13">C5*$B5</f>
        <v>24600</v>
      </c>
      <c r="D21" s="128">
        <f t="shared" si="13"/>
        <v>24600</v>
      </c>
      <c r="E21" s="128">
        <f t="shared" si="13"/>
        <v>19680</v>
      </c>
      <c r="F21" s="128">
        <f t="shared" si="13"/>
        <v>15744</v>
      </c>
      <c r="G21" s="128">
        <f t="shared" si="13"/>
        <v>15120</v>
      </c>
      <c r="H21" s="128">
        <f t="shared" si="13"/>
        <v>12840</v>
      </c>
      <c r="I21" s="128">
        <f t="shared" si="13"/>
        <v>10920</v>
      </c>
      <c r="J21" s="128">
        <f t="shared" si="13"/>
        <v>9300</v>
      </c>
      <c r="K21" s="128">
        <f t="shared" si="13"/>
        <v>7860</v>
      </c>
      <c r="L21" s="128">
        <f t="shared" si="13"/>
        <v>6720</v>
      </c>
      <c r="M21" s="128">
        <f t="shared" si="13"/>
        <v>5700</v>
      </c>
      <c r="N21" s="128">
        <f t="shared" si="13"/>
        <v>4800</v>
      </c>
      <c r="O21" s="128">
        <f t="shared" si="12"/>
        <v>157884</v>
      </c>
    </row>
    <row r="22" spans="1:16" s="27" customFormat="1" ht="15.75" x14ac:dyDescent="0.25">
      <c r="A22" s="11" t="s">
        <v>39</v>
      </c>
      <c r="B22" s="31"/>
      <c r="C22" s="128">
        <f t="shared" ref="C22:N22" si="14">C6*$B6</f>
        <v>25200</v>
      </c>
      <c r="D22" s="128">
        <f t="shared" si="14"/>
        <v>25200</v>
      </c>
      <c r="E22" s="128">
        <f t="shared" si="14"/>
        <v>20160</v>
      </c>
      <c r="F22" s="128">
        <f t="shared" si="14"/>
        <v>16128</v>
      </c>
      <c r="G22" s="128">
        <f t="shared" si="14"/>
        <v>15480</v>
      </c>
      <c r="H22" s="128">
        <f t="shared" si="14"/>
        <v>13200</v>
      </c>
      <c r="I22" s="128">
        <f t="shared" si="14"/>
        <v>11160</v>
      </c>
      <c r="J22" s="128">
        <f t="shared" si="14"/>
        <v>9540</v>
      </c>
      <c r="K22" s="128">
        <f t="shared" si="14"/>
        <v>8100</v>
      </c>
      <c r="L22" s="128">
        <f t="shared" si="14"/>
        <v>6900</v>
      </c>
      <c r="M22" s="128">
        <f t="shared" si="14"/>
        <v>5820</v>
      </c>
      <c r="N22" s="128">
        <f t="shared" si="14"/>
        <v>4980</v>
      </c>
      <c r="O22" s="128">
        <f t="shared" si="12"/>
        <v>161868</v>
      </c>
    </row>
    <row r="23" spans="1:16" s="27" customFormat="1" ht="15.75" x14ac:dyDescent="0.25">
      <c r="A23" s="11" t="s">
        <v>40</v>
      </c>
      <c r="B23" s="31"/>
      <c r="C23" s="128">
        <f t="shared" ref="C23:N23" si="15">C7*$B7</f>
        <v>25800</v>
      </c>
      <c r="D23" s="128">
        <f t="shared" si="15"/>
        <v>25800</v>
      </c>
      <c r="E23" s="128">
        <f t="shared" si="15"/>
        <v>20640</v>
      </c>
      <c r="F23" s="128">
        <f t="shared" si="15"/>
        <v>16512</v>
      </c>
      <c r="G23" s="128">
        <f t="shared" si="15"/>
        <v>15840</v>
      </c>
      <c r="H23" s="128">
        <f t="shared" si="15"/>
        <v>13500</v>
      </c>
      <c r="I23" s="128">
        <f t="shared" si="15"/>
        <v>11460</v>
      </c>
      <c r="J23" s="128">
        <f t="shared" si="15"/>
        <v>9720</v>
      </c>
      <c r="K23" s="128">
        <f t="shared" si="15"/>
        <v>8280</v>
      </c>
      <c r="L23" s="128">
        <f t="shared" si="15"/>
        <v>7020</v>
      </c>
      <c r="M23" s="128">
        <f t="shared" si="15"/>
        <v>6000</v>
      </c>
      <c r="N23" s="128">
        <f t="shared" si="15"/>
        <v>5100</v>
      </c>
      <c r="O23" s="128">
        <f t="shared" si="12"/>
        <v>165672</v>
      </c>
      <c r="P23" s="24"/>
    </row>
    <row r="24" spans="1:16" s="27" customFormat="1" ht="15.75" x14ac:dyDescent="0.25">
      <c r="A24" s="11" t="s">
        <v>41</v>
      </c>
      <c r="B24" s="31"/>
      <c r="C24" s="128">
        <f t="shared" ref="C24:N24" si="16">C8*$B8</f>
        <v>26400</v>
      </c>
      <c r="D24" s="128">
        <f t="shared" si="16"/>
        <v>26400</v>
      </c>
      <c r="E24" s="128">
        <f t="shared" si="16"/>
        <v>21120</v>
      </c>
      <c r="F24" s="128">
        <f t="shared" si="16"/>
        <v>16896</v>
      </c>
      <c r="G24" s="128">
        <f t="shared" si="16"/>
        <v>16200</v>
      </c>
      <c r="H24" s="128">
        <f t="shared" si="16"/>
        <v>13800</v>
      </c>
      <c r="I24" s="128">
        <f t="shared" si="16"/>
        <v>6300</v>
      </c>
      <c r="J24" s="128">
        <f t="shared" si="16"/>
        <v>9960</v>
      </c>
      <c r="K24" s="128">
        <f t="shared" si="16"/>
        <v>8460</v>
      </c>
      <c r="L24" s="128">
        <f t="shared" si="16"/>
        <v>7200</v>
      </c>
      <c r="M24" s="128">
        <f t="shared" si="16"/>
        <v>6120</v>
      </c>
      <c r="N24" s="128">
        <f t="shared" si="16"/>
        <v>5220</v>
      </c>
      <c r="O24" s="128">
        <f t="shared" si="12"/>
        <v>164076</v>
      </c>
      <c r="P24" s="24"/>
    </row>
    <row r="25" spans="1:16" s="27" customFormat="1" ht="15.75" x14ac:dyDescent="0.25">
      <c r="A25" s="11" t="s">
        <v>42</v>
      </c>
      <c r="B25" s="31"/>
      <c r="C25" s="128">
        <f t="shared" ref="C25:N25" si="17">C9*$B9</f>
        <v>27000</v>
      </c>
      <c r="D25" s="128">
        <f t="shared" si="17"/>
        <v>27000</v>
      </c>
      <c r="E25" s="128">
        <f t="shared" si="17"/>
        <v>21600</v>
      </c>
      <c r="F25" s="128">
        <f t="shared" si="17"/>
        <v>17280</v>
      </c>
      <c r="G25" s="128">
        <f t="shared" si="17"/>
        <v>16560</v>
      </c>
      <c r="H25" s="128">
        <f t="shared" si="17"/>
        <v>14100</v>
      </c>
      <c r="I25" s="128">
        <f t="shared" si="17"/>
        <v>12000</v>
      </c>
      <c r="J25" s="128">
        <f t="shared" si="17"/>
        <v>10200</v>
      </c>
      <c r="K25" s="128">
        <f t="shared" si="17"/>
        <v>8640</v>
      </c>
      <c r="L25" s="128">
        <f t="shared" si="17"/>
        <v>7380</v>
      </c>
      <c r="M25" s="128">
        <f t="shared" si="17"/>
        <v>6240</v>
      </c>
      <c r="N25" s="128">
        <f t="shared" si="17"/>
        <v>5340</v>
      </c>
      <c r="O25" s="128">
        <f t="shared" si="12"/>
        <v>173340</v>
      </c>
      <c r="P25"/>
    </row>
    <row r="26" spans="1:16" s="27" customFormat="1" ht="15.75" x14ac:dyDescent="0.25">
      <c r="A26" s="11" t="s">
        <v>43</v>
      </c>
      <c r="B26" s="31"/>
      <c r="C26" s="128">
        <f t="shared" ref="C26:N26" si="18">C10*$B10</f>
        <v>27600</v>
      </c>
      <c r="D26" s="128">
        <f t="shared" si="18"/>
        <v>27600</v>
      </c>
      <c r="E26" s="128">
        <f t="shared" si="18"/>
        <v>22080</v>
      </c>
      <c r="F26" s="128">
        <f t="shared" si="18"/>
        <v>17664</v>
      </c>
      <c r="G26" s="128">
        <f t="shared" si="18"/>
        <v>16949.849999999999</v>
      </c>
      <c r="H26" s="128">
        <f t="shared" si="18"/>
        <v>14400</v>
      </c>
      <c r="I26" s="128">
        <f t="shared" si="18"/>
        <v>12300</v>
      </c>
      <c r="J26" s="128">
        <f t="shared" si="18"/>
        <v>10440</v>
      </c>
      <c r="K26" s="128">
        <f t="shared" si="18"/>
        <v>8850</v>
      </c>
      <c r="L26" s="128">
        <f t="shared" si="18"/>
        <v>7500</v>
      </c>
      <c r="M26" s="128">
        <f t="shared" si="18"/>
        <v>6360</v>
      </c>
      <c r="N26" s="128">
        <f t="shared" si="18"/>
        <v>5460</v>
      </c>
      <c r="O26" s="128">
        <f t="shared" si="12"/>
        <v>177203.85</v>
      </c>
      <c r="P26"/>
    </row>
    <row r="27" spans="1:16" s="27" customFormat="1" ht="15.75" x14ac:dyDescent="0.25">
      <c r="A27" s="11" t="s">
        <v>44</v>
      </c>
      <c r="B27" s="31"/>
      <c r="C27" s="128">
        <f t="shared" ref="C27:N27" si="19">C11*$B11</f>
        <v>28200</v>
      </c>
      <c r="D27" s="128">
        <f t="shared" si="19"/>
        <v>28200</v>
      </c>
      <c r="E27" s="128">
        <f t="shared" si="19"/>
        <v>22560</v>
      </c>
      <c r="F27" s="128">
        <f t="shared" si="19"/>
        <v>18048</v>
      </c>
      <c r="G27" s="128">
        <f t="shared" si="19"/>
        <v>17340</v>
      </c>
      <c r="H27" s="128">
        <f t="shared" si="19"/>
        <v>14700</v>
      </c>
      <c r="I27" s="128">
        <f t="shared" si="19"/>
        <v>12540</v>
      </c>
      <c r="J27" s="128">
        <f t="shared" si="19"/>
        <v>10620</v>
      </c>
      <c r="K27" s="128">
        <f t="shared" si="19"/>
        <v>9060</v>
      </c>
      <c r="L27" s="128">
        <f t="shared" si="19"/>
        <v>7680</v>
      </c>
      <c r="M27" s="128">
        <f t="shared" si="19"/>
        <v>6540</v>
      </c>
      <c r="N27" s="128">
        <f t="shared" si="19"/>
        <v>5580</v>
      </c>
      <c r="O27" s="128">
        <f t="shared" si="12"/>
        <v>181068</v>
      </c>
      <c r="P27"/>
    </row>
    <row r="28" spans="1:16" s="27" customFormat="1" ht="15.75" x14ac:dyDescent="0.25">
      <c r="A28" s="11" t="s">
        <v>45</v>
      </c>
      <c r="B28" s="31"/>
      <c r="C28" s="128">
        <f t="shared" ref="C28:N28" si="20">C12*$B12</f>
        <v>28800</v>
      </c>
      <c r="D28" s="128">
        <f t="shared" si="20"/>
        <v>28800</v>
      </c>
      <c r="E28" s="128">
        <f t="shared" si="20"/>
        <v>23040</v>
      </c>
      <c r="F28" s="128">
        <f t="shared" si="20"/>
        <v>18432</v>
      </c>
      <c r="G28" s="128">
        <f t="shared" si="20"/>
        <v>17700</v>
      </c>
      <c r="H28" s="128">
        <f t="shared" si="20"/>
        <v>15000</v>
      </c>
      <c r="I28" s="128">
        <f t="shared" si="20"/>
        <v>12780</v>
      </c>
      <c r="J28" s="128">
        <f t="shared" si="20"/>
        <v>10860</v>
      </c>
      <c r="K28" s="128">
        <f t="shared" si="20"/>
        <v>9240</v>
      </c>
      <c r="L28" s="128">
        <f t="shared" si="20"/>
        <v>7860</v>
      </c>
      <c r="M28" s="128">
        <f t="shared" si="20"/>
        <v>6660</v>
      </c>
      <c r="N28" s="128">
        <f t="shared" si="20"/>
        <v>5669.9828450128116</v>
      </c>
      <c r="O28" s="128">
        <f t="shared" si="12"/>
        <v>184841.9828450128</v>
      </c>
      <c r="P28"/>
    </row>
    <row r="29" spans="1:16" s="27" customFormat="1" ht="16.5" thickBot="1" x14ac:dyDescent="0.3">
      <c r="A29" s="11" t="s">
        <v>46</v>
      </c>
      <c r="B29" s="31"/>
      <c r="C29" s="128">
        <f t="shared" ref="C29:N29" si="21">C13*$B13</f>
        <v>29400</v>
      </c>
      <c r="D29" s="128">
        <f t="shared" si="21"/>
        <v>29400</v>
      </c>
      <c r="E29" s="128">
        <f t="shared" si="21"/>
        <v>23520</v>
      </c>
      <c r="F29" s="128">
        <f t="shared" si="21"/>
        <v>18816</v>
      </c>
      <c r="G29" s="128">
        <f t="shared" si="21"/>
        <v>18000</v>
      </c>
      <c r="H29" s="128">
        <f t="shared" si="21"/>
        <v>15360</v>
      </c>
      <c r="I29" s="128">
        <f t="shared" si="21"/>
        <v>13020</v>
      </c>
      <c r="J29" s="128">
        <f t="shared" si="21"/>
        <v>11100</v>
      </c>
      <c r="K29" s="128">
        <f t="shared" si="21"/>
        <v>9420</v>
      </c>
      <c r="L29" s="128">
        <f t="shared" si="21"/>
        <v>7980</v>
      </c>
      <c r="M29" s="128">
        <f t="shared" si="21"/>
        <v>6780</v>
      </c>
      <c r="N29" s="128">
        <f t="shared" si="21"/>
        <v>5790</v>
      </c>
      <c r="O29" s="128">
        <f t="shared" si="12"/>
        <v>188586</v>
      </c>
      <c r="P29"/>
    </row>
    <row r="30" spans="1:16" ht="17.25" thickTop="1" thickBot="1" x14ac:dyDescent="0.3">
      <c r="A30" s="219" t="s">
        <v>48</v>
      </c>
      <c r="B30" s="3"/>
      <c r="C30" s="140">
        <f t="shared" ref="C30:O30" si="22">SUM(C20:C29)</f>
        <v>267000</v>
      </c>
      <c r="D30" s="140">
        <f t="shared" si="22"/>
        <v>267000</v>
      </c>
      <c r="E30" s="140">
        <f t="shared" si="22"/>
        <v>213600</v>
      </c>
      <c r="F30" s="140">
        <f t="shared" si="22"/>
        <v>170880</v>
      </c>
      <c r="G30" s="140">
        <f t="shared" si="22"/>
        <v>163928.85</v>
      </c>
      <c r="H30" s="140">
        <f t="shared" si="22"/>
        <v>139440</v>
      </c>
      <c r="I30" s="140">
        <f t="shared" si="22"/>
        <v>113130</v>
      </c>
      <c r="J30" s="140">
        <f t="shared" si="22"/>
        <v>100800</v>
      </c>
      <c r="K30" s="140">
        <f t="shared" si="22"/>
        <v>85590</v>
      </c>
      <c r="L30" s="140">
        <f t="shared" si="22"/>
        <v>72779.772600937504</v>
      </c>
      <c r="M30" s="140">
        <f t="shared" si="22"/>
        <v>61800</v>
      </c>
      <c r="N30" s="140">
        <f t="shared" si="22"/>
        <v>52679.982845012812</v>
      </c>
      <c r="O30" s="140">
        <f t="shared" si="22"/>
        <v>1708628.6054459503</v>
      </c>
      <c r="P30"/>
    </row>
    <row r="31" spans="1:16" ht="13.5" thickTop="1" x14ac:dyDescent="0.2">
      <c r="A31" s="32"/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/>
    </row>
    <row r="32" spans="1:16" x14ac:dyDescent="0.2">
      <c r="P32"/>
    </row>
    <row r="33" spans="16:16" x14ac:dyDescent="0.2">
      <c r="P33"/>
    </row>
    <row r="34" spans="16:16" x14ac:dyDescent="0.2">
      <c r="P34"/>
    </row>
    <row r="35" spans="16:16" x14ac:dyDescent="0.2">
      <c r="P35"/>
    </row>
    <row r="36" spans="16:16" x14ac:dyDescent="0.2">
      <c r="P36"/>
    </row>
    <row r="37" spans="16:16" x14ac:dyDescent="0.2">
      <c r="P37"/>
    </row>
    <row r="38" spans="16:16" x14ac:dyDescent="0.2">
      <c r="P38"/>
    </row>
    <row r="39" spans="16:16" x14ac:dyDescent="0.2">
      <c r="P39"/>
    </row>
    <row r="40" spans="16:16" x14ac:dyDescent="0.2">
      <c r="P40"/>
    </row>
    <row r="41" spans="16:16" x14ac:dyDescent="0.2">
      <c r="P41"/>
    </row>
    <row r="42" spans="16:16" x14ac:dyDescent="0.2">
      <c r="P42"/>
    </row>
    <row r="43" spans="16:16" x14ac:dyDescent="0.2">
      <c r="P43"/>
    </row>
    <row r="44" spans="16:16" x14ac:dyDescent="0.2">
      <c r="P44"/>
    </row>
    <row r="45" spans="16:16" x14ac:dyDescent="0.2">
      <c r="P45"/>
    </row>
    <row r="46" spans="16:16" x14ac:dyDescent="0.2">
      <c r="P46"/>
    </row>
    <row r="47" spans="16:16" x14ac:dyDescent="0.2">
      <c r="P47"/>
    </row>
    <row r="48" spans="16:16" x14ac:dyDescent="0.2">
      <c r="P48"/>
    </row>
    <row r="49" spans="16:16" x14ac:dyDescent="0.2">
      <c r="P49"/>
    </row>
    <row r="50" spans="16:16" x14ac:dyDescent="0.2">
      <c r="P50"/>
    </row>
    <row r="51" spans="16:16" x14ac:dyDescent="0.2">
      <c r="P51"/>
    </row>
    <row r="52" spans="16:16" x14ac:dyDescent="0.2">
      <c r="P52"/>
    </row>
    <row r="53" spans="16:16" x14ac:dyDescent="0.2">
      <c r="P53"/>
    </row>
    <row r="54" spans="16:16" x14ac:dyDescent="0.2">
      <c r="P54"/>
    </row>
    <row r="55" spans="16:16" x14ac:dyDescent="0.2">
      <c r="P55"/>
    </row>
    <row r="56" spans="16:16" x14ac:dyDescent="0.2">
      <c r="P56"/>
    </row>
    <row r="57" spans="16:16" x14ac:dyDescent="0.2">
      <c r="P57"/>
    </row>
    <row r="58" spans="16:16" x14ac:dyDescent="0.2">
      <c r="P58"/>
    </row>
    <row r="59" spans="16:16" x14ac:dyDescent="0.2">
      <c r="P59"/>
    </row>
    <row r="60" spans="16:16" x14ac:dyDescent="0.2">
      <c r="P60"/>
    </row>
    <row r="61" spans="16:16" x14ac:dyDescent="0.2">
      <c r="P61"/>
    </row>
    <row r="62" spans="16:16" x14ac:dyDescent="0.2">
      <c r="P62"/>
    </row>
    <row r="63" spans="16:16" x14ac:dyDescent="0.2">
      <c r="P63"/>
    </row>
    <row r="64" spans="16:16" x14ac:dyDescent="0.2">
      <c r="P64"/>
    </row>
    <row r="65" spans="16:16" x14ac:dyDescent="0.2">
      <c r="P65"/>
    </row>
    <row r="66" spans="16:16" x14ac:dyDescent="0.2">
      <c r="P66"/>
    </row>
    <row r="67" spans="16:16" x14ac:dyDescent="0.2">
      <c r="P67"/>
    </row>
    <row r="68" spans="16:16" x14ac:dyDescent="0.2">
      <c r="P68"/>
    </row>
    <row r="69" spans="16:16" x14ac:dyDescent="0.2">
      <c r="P69"/>
    </row>
    <row r="70" spans="16:16" x14ac:dyDescent="0.2">
      <c r="P70"/>
    </row>
    <row r="71" spans="16:16" x14ac:dyDescent="0.2">
      <c r="P71"/>
    </row>
    <row r="72" spans="16:16" x14ac:dyDescent="0.2">
      <c r="P72"/>
    </row>
    <row r="73" spans="16:16" x14ac:dyDescent="0.2">
      <c r="P73"/>
    </row>
    <row r="74" spans="16:16" x14ac:dyDescent="0.2">
      <c r="P74"/>
    </row>
    <row r="75" spans="16:16" x14ac:dyDescent="0.2">
      <c r="P75"/>
    </row>
    <row r="76" spans="16:16" x14ac:dyDescent="0.2">
      <c r="P76"/>
    </row>
    <row r="77" spans="16:16" x14ac:dyDescent="0.2">
      <c r="P77"/>
    </row>
    <row r="78" spans="16:16" x14ac:dyDescent="0.2">
      <c r="P78"/>
    </row>
    <row r="79" spans="16:16" x14ac:dyDescent="0.2">
      <c r="P79"/>
    </row>
    <row r="80" spans="16:16" x14ac:dyDescent="0.2">
      <c r="P80"/>
    </row>
    <row r="81" spans="16:16" x14ac:dyDescent="0.2">
      <c r="P81"/>
    </row>
    <row r="82" spans="16:16" x14ac:dyDescent="0.2">
      <c r="P82"/>
    </row>
    <row r="83" spans="16:16" x14ac:dyDescent="0.2">
      <c r="P83"/>
    </row>
    <row r="84" spans="16:16" x14ac:dyDescent="0.2">
      <c r="P84"/>
    </row>
    <row r="85" spans="16:16" x14ac:dyDescent="0.2">
      <c r="P85"/>
    </row>
    <row r="86" spans="16:16" x14ac:dyDescent="0.2">
      <c r="P86"/>
    </row>
    <row r="87" spans="16:16" x14ac:dyDescent="0.2">
      <c r="P87"/>
    </row>
    <row r="88" spans="16:16" x14ac:dyDescent="0.2">
      <c r="P88"/>
    </row>
    <row r="89" spans="16:16" x14ac:dyDescent="0.2">
      <c r="P89"/>
    </row>
    <row r="90" spans="16:16" x14ac:dyDescent="0.2">
      <c r="P90"/>
    </row>
    <row r="91" spans="16:16" x14ac:dyDescent="0.2">
      <c r="P91"/>
    </row>
    <row r="92" spans="16:16" x14ac:dyDescent="0.2">
      <c r="P92"/>
    </row>
    <row r="93" spans="16:16" x14ac:dyDescent="0.2">
      <c r="P93"/>
    </row>
    <row r="94" spans="16:16" x14ac:dyDescent="0.2">
      <c r="P94"/>
    </row>
    <row r="95" spans="16:16" x14ac:dyDescent="0.2">
      <c r="P95"/>
    </row>
    <row r="96" spans="16:16" x14ac:dyDescent="0.2">
      <c r="P96"/>
    </row>
    <row r="97" spans="16:16" x14ac:dyDescent="0.2">
      <c r="P97"/>
    </row>
    <row r="98" spans="16:16" x14ac:dyDescent="0.2">
      <c r="P98"/>
    </row>
    <row r="99" spans="16:16" x14ac:dyDescent="0.2">
      <c r="P99"/>
    </row>
    <row r="100" spans="16:16" x14ac:dyDescent="0.2">
      <c r="P100"/>
    </row>
    <row r="101" spans="16:16" x14ac:dyDescent="0.2">
      <c r="P101"/>
    </row>
    <row r="102" spans="16:16" x14ac:dyDescent="0.2">
      <c r="P102"/>
    </row>
    <row r="103" spans="16:16" x14ac:dyDescent="0.2">
      <c r="P103"/>
    </row>
    <row r="104" spans="16:16" x14ac:dyDescent="0.2">
      <c r="P104"/>
    </row>
    <row r="105" spans="16:16" x14ac:dyDescent="0.2">
      <c r="P105"/>
    </row>
    <row r="106" spans="16:16" x14ac:dyDescent="0.2">
      <c r="P106"/>
    </row>
    <row r="107" spans="16:16" x14ac:dyDescent="0.2">
      <c r="P107"/>
    </row>
    <row r="108" spans="16:16" x14ac:dyDescent="0.2">
      <c r="P108"/>
    </row>
    <row r="109" spans="16:16" x14ac:dyDescent="0.2">
      <c r="P109"/>
    </row>
    <row r="110" spans="16:16" x14ac:dyDescent="0.2">
      <c r="P110"/>
    </row>
    <row r="111" spans="16:16" x14ac:dyDescent="0.2">
      <c r="P111"/>
    </row>
    <row r="112" spans="16:16" x14ac:dyDescent="0.2">
      <c r="P112"/>
    </row>
    <row r="113" spans="16:16" x14ac:dyDescent="0.2">
      <c r="P113"/>
    </row>
    <row r="114" spans="16:16" x14ac:dyDescent="0.2">
      <c r="P114"/>
    </row>
    <row r="115" spans="16:16" x14ac:dyDescent="0.2">
      <c r="P115"/>
    </row>
    <row r="116" spans="16:16" x14ac:dyDescent="0.2">
      <c r="P116"/>
    </row>
    <row r="117" spans="16:16" x14ac:dyDescent="0.2">
      <c r="P117"/>
    </row>
    <row r="118" spans="16:16" x14ac:dyDescent="0.2">
      <c r="P118"/>
    </row>
    <row r="119" spans="16:16" x14ac:dyDescent="0.2">
      <c r="P119"/>
    </row>
  </sheetData>
  <mergeCells count="5">
    <mergeCell ref="A17:A18"/>
    <mergeCell ref="C2:D2"/>
    <mergeCell ref="E2:N2"/>
    <mergeCell ref="C17:D17"/>
    <mergeCell ref="E17:N17"/>
  </mergeCells>
  <pageMargins left="0.25" right="0.25" top="0.75" bottom="0.75" header="0.3" footer="0.3"/>
  <pageSetup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16" sqref="A16"/>
    </sheetView>
  </sheetViews>
  <sheetFormatPr defaultRowHeight="12.75" x14ac:dyDescent="0.2"/>
  <cols>
    <col min="1" max="1" width="30.42578125" customWidth="1"/>
    <col min="2" max="2" width="15.7109375" customWidth="1"/>
    <col min="3" max="3" width="11.140625" customWidth="1"/>
    <col min="4" max="4" width="11.5703125" customWidth="1"/>
    <col min="5" max="5" width="12.140625" customWidth="1"/>
    <col min="6" max="6" width="11.5703125" customWidth="1"/>
    <col min="7" max="7" width="11.7109375" customWidth="1"/>
    <col min="8" max="8" width="11.85546875" customWidth="1"/>
    <col min="9" max="9" width="12.28515625" customWidth="1"/>
    <col min="10" max="10" width="11.7109375" customWidth="1"/>
    <col min="11" max="11" width="12.140625" customWidth="1"/>
    <col min="12" max="12" width="11.5703125" customWidth="1"/>
    <col min="13" max="13" width="13" customWidth="1"/>
    <col min="14" max="15" width="12.85546875" customWidth="1"/>
  </cols>
  <sheetData>
    <row r="1" spans="1:15" ht="18" x14ac:dyDescent="0.25">
      <c r="A1" s="69" t="s">
        <v>50</v>
      </c>
    </row>
    <row r="2" spans="1:15" ht="36.75" customHeight="1" thickBot="1" x14ac:dyDescent="0.25">
      <c r="A2" s="132"/>
      <c r="B2" s="131"/>
      <c r="D2" s="23"/>
    </row>
    <row r="3" spans="1:15" ht="41.25" customHeight="1" thickTop="1" thickBot="1" x14ac:dyDescent="0.25">
      <c r="A3" s="171" t="s">
        <v>71</v>
      </c>
      <c r="B3" s="35" t="s">
        <v>1</v>
      </c>
      <c r="C3" s="184" t="s">
        <v>4</v>
      </c>
      <c r="D3" s="185"/>
      <c r="E3" s="186" t="s">
        <v>1</v>
      </c>
      <c r="F3" s="187"/>
      <c r="G3" s="187"/>
      <c r="H3" s="187"/>
      <c r="I3" s="187"/>
      <c r="J3" s="187"/>
      <c r="K3" s="187"/>
      <c r="L3" s="187"/>
      <c r="M3" s="187"/>
      <c r="N3" s="187"/>
      <c r="O3" s="188"/>
    </row>
    <row r="4" spans="1:15" ht="17.25" thickTop="1" thickBot="1" x14ac:dyDescent="0.3">
      <c r="A4" s="36"/>
      <c r="B4" s="37">
        <v>2020</v>
      </c>
      <c r="C4" s="38">
        <v>43858</v>
      </c>
      <c r="D4" s="38">
        <f>C4+28</f>
        <v>43886</v>
      </c>
      <c r="E4" s="39">
        <f t="shared" ref="E4:M4" si="0">D4+28</f>
        <v>43914</v>
      </c>
      <c r="F4" s="39">
        <f t="shared" si="0"/>
        <v>43942</v>
      </c>
      <c r="G4" s="39">
        <f t="shared" si="0"/>
        <v>43970</v>
      </c>
      <c r="H4" s="39">
        <f t="shared" si="0"/>
        <v>43998</v>
      </c>
      <c r="I4" s="39">
        <f t="shared" si="0"/>
        <v>44026</v>
      </c>
      <c r="J4" s="40">
        <f t="shared" si="0"/>
        <v>44054</v>
      </c>
      <c r="K4" s="40">
        <f t="shared" si="0"/>
        <v>44082</v>
      </c>
      <c r="L4" s="40">
        <f t="shared" si="0"/>
        <v>44110</v>
      </c>
      <c r="M4" s="40">
        <f t="shared" si="0"/>
        <v>44138</v>
      </c>
      <c r="N4" s="40">
        <f>M4+28</f>
        <v>44166</v>
      </c>
      <c r="O4" s="41" t="s">
        <v>5</v>
      </c>
    </row>
    <row r="5" spans="1:15" ht="16.5" thickTop="1" x14ac:dyDescent="0.25">
      <c r="A5" s="168" t="s">
        <v>6</v>
      </c>
      <c r="B5" s="42"/>
      <c r="C5" s="43"/>
      <c r="D5" s="43"/>
      <c r="E5" s="44"/>
      <c r="F5" s="44"/>
      <c r="G5" s="44"/>
      <c r="H5" s="44"/>
      <c r="I5" s="44"/>
      <c r="J5" s="44"/>
      <c r="K5" s="44"/>
      <c r="L5" s="44"/>
      <c r="M5" s="44"/>
      <c r="N5" s="45"/>
      <c r="O5" s="44"/>
    </row>
    <row r="6" spans="1:15" ht="15.75" thickBot="1" x14ac:dyDescent="0.25">
      <c r="A6" s="167" t="s">
        <v>0</v>
      </c>
      <c r="B6" s="46">
        <f>SUM(C6:N6)</f>
        <v>2847714.3424099172</v>
      </c>
      <c r="C6" s="47">
        <f>Revenue!C14</f>
        <v>445000</v>
      </c>
      <c r="D6" s="47">
        <f>Revenue!D14</f>
        <v>445000</v>
      </c>
      <c r="E6" s="48">
        <f>Revenue!E14</f>
        <v>356000</v>
      </c>
      <c r="F6" s="48">
        <f>Revenue!F14</f>
        <v>284800</v>
      </c>
      <c r="G6" s="48">
        <f>Revenue!G14</f>
        <v>273214.75</v>
      </c>
      <c r="H6" s="48">
        <f>Revenue!H14</f>
        <v>232400</v>
      </c>
      <c r="I6" s="48">
        <f>Revenue!I14</f>
        <v>188550</v>
      </c>
      <c r="J6" s="48">
        <f>Revenue!J14</f>
        <v>168000</v>
      </c>
      <c r="K6" s="48">
        <f>Revenue!K14</f>
        <v>142650</v>
      </c>
      <c r="L6" s="48">
        <f>Revenue!L14</f>
        <v>121299.6210015625</v>
      </c>
      <c r="M6" s="48">
        <f>Revenue!M14</f>
        <v>103000</v>
      </c>
      <c r="N6" s="48">
        <f>Revenue!N14</f>
        <v>87799.971408354686</v>
      </c>
      <c r="O6" s="48">
        <f>SUM(C6:N6)</f>
        <v>2847714.3424099172</v>
      </c>
    </row>
    <row r="7" spans="1:15" ht="17.25" thickTop="1" thickBot="1" x14ac:dyDescent="0.3">
      <c r="A7" s="161" t="s">
        <v>49</v>
      </c>
      <c r="B7" s="52">
        <f>SUM(C7:N7)</f>
        <v>2847714.3424099172</v>
      </c>
      <c r="C7" s="51">
        <f>Revenue!C14</f>
        <v>445000</v>
      </c>
      <c r="D7" s="51">
        <f>Revenue!D14</f>
        <v>445000</v>
      </c>
      <c r="E7" s="52">
        <f t="shared" ref="E7:O7" si="1">SUM(E6:E6)</f>
        <v>356000</v>
      </c>
      <c r="F7" s="52">
        <f t="shared" si="1"/>
        <v>284800</v>
      </c>
      <c r="G7" s="52">
        <f t="shared" si="1"/>
        <v>273214.75</v>
      </c>
      <c r="H7" s="52">
        <f t="shared" si="1"/>
        <v>232400</v>
      </c>
      <c r="I7" s="52">
        <f t="shared" si="1"/>
        <v>188550</v>
      </c>
      <c r="J7" s="52">
        <f t="shared" si="1"/>
        <v>168000</v>
      </c>
      <c r="K7" s="52">
        <f t="shared" si="1"/>
        <v>142650</v>
      </c>
      <c r="L7" s="52">
        <f t="shared" si="1"/>
        <v>121299.6210015625</v>
      </c>
      <c r="M7" s="52">
        <f t="shared" si="1"/>
        <v>103000</v>
      </c>
      <c r="N7" s="52">
        <f t="shared" si="1"/>
        <v>87799.971408354686</v>
      </c>
      <c r="O7" s="52">
        <f t="shared" si="1"/>
        <v>2847714.3424099172</v>
      </c>
    </row>
    <row r="8" spans="1:15" ht="17.25" thickTop="1" thickBot="1" x14ac:dyDescent="0.3">
      <c r="A8" s="162"/>
      <c r="B8" s="53"/>
      <c r="C8" s="54"/>
      <c r="D8" s="54"/>
      <c r="E8" s="55"/>
      <c r="F8" s="55"/>
      <c r="G8" s="55"/>
      <c r="H8" s="55"/>
      <c r="I8" s="55"/>
      <c r="J8" s="55"/>
      <c r="K8" s="55"/>
      <c r="L8" s="55"/>
      <c r="M8" s="55"/>
      <c r="N8" s="55"/>
      <c r="O8" s="48"/>
    </row>
    <row r="9" spans="1:15" ht="17.25" thickTop="1" thickBot="1" x14ac:dyDescent="0.3">
      <c r="A9" s="161" t="s">
        <v>8</v>
      </c>
      <c r="B9" s="46">
        <f>SUM(C9:N9)</f>
        <v>1708628.6054459503</v>
      </c>
      <c r="C9" s="47">
        <f>Revenue!C30</f>
        <v>267000</v>
      </c>
      <c r="D9" s="47">
        <f>Revenue!D30</f>
        <v>267000</v>
      </c>
      <c r="E9" s="48">
        <f>Revenue!E30</f>
        <v>213600</v>
      </c>
      <c r="F9" s="48">
        <f>Revenue!F30</f>
        <v>170880</v>
      </c>
      <c r="G9" s="48">
        <f>Revenue!G30</f>
        <v>163928.85</v>
      </c>
      <c r="H9" s="48">
        <f>Revenue!H30</f>
        <v>139440</v>
      </c>
      <c r="I9" s="48">
        <f>Revenue!I30</f>
        <v>113130</v>
      </c>
      <c r="J9" s="48">
        <f>Revenue!J30</f>
        <v>100800</v>
      </c>
      <c r="K9" s="48">
        <f>Revenue!K30</f>
        <v>85590</v>
      </c>
      <c r="L9" s="48">
        <f>Revenue!L30</f>
        <v>72779.772600937504</v>
      </c>
      <c r="M9" s="48">
        <f>Revenue!M30</f>
        <v>61800</v>
      </c>
      <c r="N9" s="48">
        <f>Revenue!N30</f>
        <v>52679.982845012812</v>
      </c>
      <c r="O9" s="48">
        <f>SUM(C9:N9)</f>
        <v>1708628.6054459503</v>
      </c>
    </row>
    <row r="10" spans="1:15" ht="17.25" thickTop="1" thickBot="1" x14ac:dyDescent="0.3">
      <c r="A10" s="161" t="s">
        <v>9</v>
      </c>
      <c r="B10" s="52">
        <f t="shared" ref="B10:O10" si="2">(B7)-B9</f>
        <v>1139085.7369639669</v>
      </c>
      <c r="C10" s="51">
        <f t="shared" si="2"/>
        <v>178000</v>
      </c>
      <c r="D10" s="51">
        <f t="shared" si="2"/>
        <v>178000</v>
      </c>
      <c r="E10" s="52">
        <f t="shared" si="2"/>
        <v>142400</v>
      </c>
      <c r="F10" s="52">
        <f t="shared" si="2"/>
        <v>113920</v>
      </c>
      <c r="G10" s="52">
        <f t="shared" si="2"/>
        <v>109285.9</v>
      </c>
      <c r="H10" s="52">
        <f t="shared" si="2"/>
        <v>92960</v>
      </c>
      <c r="I10" s="52">
        <f t="shared" si="2"/>
        <v>75420</v>
      </c>
      <c r="J10" s="52">
        <f t="shared" si="2"/>
        <v>67200</v>
      </c>
      <c r="K10" s="52">
        <f t="shared" si="2"/>
        <v>57060</v>
      </c>
      <c r="L10" s="52">
        <f t="shared" si="2"/>
        <v>48519.848400624993</v>
      </c>
      <c r="M10" s="52">
        <f t="shared" si="2"/>
        <v>41200</v>
      </c>
      <c r="N10" s="52">
        <f t="shared" si="2"/>
        <v>35119.988563341874</v>
      </c>
      <c r="O10" s="52">
        <f t="shared" si="2"/>
        <v>1139085.7369639669</v>
      </c>
    </row>
    <row r="11" spans="1:15" ht="17.25" thickTop="1" thickBot="1" x14ac:dyDescent="0.3">
      <c r="A11" s="161" t="s">
        <v>10</v>
      </c>
      <c r="B11" s="60">
        <f t="shared" ref="B11:O11" si="3">B10/B7</f>
        <v>0.4</v>
      </c>
      <c r="C11" s="138">
        <f t="shared" si="3"/>
        <v>0.4</v>
      </c>
      <c r="D11" s="138">
        <f t="shared" si="3"/>
        <v>0.4</v>
      </c>
      <c r="E11" s="139">
        <f t="shared" si="3"/>
        <v>0.4</v>
      </c>
      <c r="F11" s="139">
        <f t="shared" si="3"/>
        <v>0.4</v>
      </c>
      <c r="G11" s="139">
        <f t="shared" si="3"/>
        <v>0.39999999999999997</v>
      </c>
      <c r="H11" s="139">
        <f t="shared" si="3"/>
        <v>0.4</v>
      </c>
      <c r="I11" s="139">
        <f t="shared" si="3"/>
        <v>0.4</v>
      </c>
      <c r="J11" s="139">
        <f t="shared" si="3"/>
        <v>0.4</v>
      </c>
      <c r="K11" s="139">
        <f t="shared" si="3"/>
        <v>0.4</v>
      </c>
      <c r="L11" s="139">
        <f t="shared" si="3"/>
        <v>0.39999999999999997</v>
      </c>
      <c r="M11" s="139">
        <f t="shared" si="3"/>
        <v>0.4</v>
      </c>
      <c r="N11" s="139">
        <f t="shared" si="3"/>
        <v>0.4</v>
      </c>
      <c r="O11" s="139">
        <f t="shared" si="3"/>
        <v>0.4</v>
      </c>
    </row>
    <row r="12" spans="1:15" ht="16.5" thickTop="1" x14ac:dyDescent="0.25">
      <c r="A12" s="166" t="s">
        <v>7</v>
      </c>
      <c r="B12" s="56"/>
      <c r="C12" s="54"/>
      <c r="D12" s="54"/>
      <c r="E12" s="57"/>
      <c r="F12" s="57"/>
      <c r="G12" s="57"/>
      <c r="H12" s="57"/>
      <c r="I12" s="57"/>
      <c r="J12" s="57"/>
      <c r="K12" s="57"/>
      <c r="L12" s="57"/>
      <c r="M12" s="57"/>
      <c r="N12" s="45"/>
      <c r="O12" s="48"/>
    </row>
    <row r="13" spans="1:15" ht="15" x14ac:dyDescent="0.2">
      <c r="A13" s="169" t="s">
        <v>54</v>
      </c>
      <c r="B13" s="46">
        <f t="shared" ref="B13:B16" si="4">SUM(C13:N13)</f>
        <v>7500</v>
      </c>
      <c r="C13" s="47">
        <v>500</v>
      </c>
      <c r="D13" s="47">
        <v>500</v>
      </c>
      <c r="E13" s="48">
        <v>500</v>
      </c>
      <c r="F13" s="48">
        <v>2000</v>
      </c>
      <c r="G13" s="48">
        <v>500</v>
      </c>
      <c r="H13" s="48">
        <v>500</v>
      </c>
      <c r="I13" s="48">
        <v>500</v>
      </c>
      <c r="J13" s="48">
        <v>500</v>
      </c>
      <c r="K13" s="48">
        <v>500</v>
      </c>
      <c r="L13" s="48">
        <v>500</v>
      </c>
      <c r="M13" s="48">
        <v>500</v>
      </c>
      <c r="N13" s="48">
        <v>500</v>
      </c>
      <c r="O13" s="48">
        <f>SUM(C13:N13)</f>
        <v>7500</v>
      </c>
    </row>
    <row r="14" spans="1:15" ht="15" x14ac:dyDescent="0.2">
      <c r="A14" s="169" t="s">
        <v>55</v>
      </c>
      <c r="B14" s="46">
        <f>SUM(C14:N14)</f>
        <v>1800</v>
      </c>
      <c r="C14" s="47">
        <v>150</v>
      </c>
      <c r="D14" s="47">
        <v>150</v>
      </c>
      <c r="E14" s="48">
        <v>150</v>
      </c>
      <c r="F14" s="48">
        <v>150</v>
      </c>
      <c r="G14" s="48">
        <v>150</v>
      </c>
      <c r="H14" s="48">
        <v>150</v>
      </c>
      <c r="I14" s="48">
        <v>150</v>
      </c>
      <c r="J14" s="48">
        <v>150</v>
      </c>
      <c r="K14" s="48">
        <v>150</v>
      </c>
      <c r="L14" s="48">
        <v>150</v>
      </c>
      <c r="M14" s="48">
        <v>150</v>
      </c>
      <c r="N14" s="48">
        <v>150</v>
      </c>
      <c r="O14" s="48">
        <f>SUM(C14:N14)</f>
        <v>1800</v>
      </c>
    </row>
    <row r="15" spans="1:15" ht="15" x14ac:dyDescent="0.2">
      <c r="A15" s="169" t="s">
        <v>11</v>
      </c>
      <c r="B15" s="46">
        <f t="shared" si="4"/>
        <v>10000</v>
      </c>
      <c r="C15" s="47">
        <v>0</v>
      </c>
      <c r="D15" s="47">
        <v>0</v>
      </c>
      <c r="E15" s="48">
        <v>0</v>
      </c>
      <c r="F15" s="48">
        <v>5000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5000</v>
      </c>
      <c r="M15" s="48">
        <v>0</v>
      </c>
      <c r="N15" s="48">
        <v>0</v>
      </c>
      <c r="O15" s="48">
        <f t="shared" ref="O15:O21" si="5">SUM(C15:N15)</f>
        <v>10000</v>
      </c>
    </row>
    <row r="16" spans="1:15" ht="30" x14ac:dyDescent="0.2">
      <c r="A16" s="169" t="s">
        <v>53</v>
      </c>
      <c r="B16" s="114">
        <f t="shared" si="4"/>
        <v>600000</v>
      </c>
      <c r="C16" s="135">
        <v>50000</v>
      </c>
      <c r="D16" s="135">
        <v>50000</v>
      </c>
      <c r="E16" s="136">
        <v>50000</v>
      </c>
      <c r="F16" s="136">
        <v>50000</v>
      </c>
      <c r="G16" s="136">
        <v>50000</v>
      </c>
      <c r="H16" s="136">
        <v>50000</v>
      </c>
      <c r="I16" s="136">
        <v>50000</v>
      </c>
      <c r="J16" s="136">
        <v>50000</v>
      </c>
      <c r="K16" s="136">
        <v>50000</v>
      </c>
      <c r="L16" s="136">
        <v>50000</v>
      </c>
      <c r="M16" s="136">
        <v>50000</v>
      </c>
      <c r="N16" s="136">
        <v>50000</v>
      </c>
      <c r="O16" s="136">
        <f t="shared" si="5"/>
        <v>600000</v>
      </c>
    </row>
    <row r="17" spans="1:15" s="137" customFormat="1" ht="15" x14ac:dyDescent="0.2">
      <c r="A17" s="169" t="s">
        <v>56</v>
      </c>
      <c r="B17" s="114">
        <f t="shared" ref="B17:B22" si="6">SUM(C17:N17)</f>
        <v>36000</v>
      </c>
      <c r="C17" s="135">
        <v>3000</v>
      </c>
      <c r="D17" s="135">
        <v>3000</v>
      </c>
      <c r="E17" s="136">
        <v>3000</v>
      </c>
      <c r="F17" s="136">
        <v>3000</v>
      </c>
      <c r="G17" s="136">
        <v>3000</v>
      </c>
      <c r="H17" s="136">
        <v>3000</v>
      </c>
      <c r="I17" s="136">
        <v>3000</v>
      </c>
      <c r="J17" s="136">
        <v>3000</v>
      </c>
      <c r="K17" s="136">
        <v>3000</v>
      </c>
      <c r="L17" s="136">
        <v>3000</v>
      </c>
      <c r="M17" s="136">
        <v>3000</v>
      </c>
      <c r="N17" s="136">
        <v>3000</v>
      </c>
      <c r="O17" s="136">
        <f t="shared" si="5"/>
        <v>36000</v>
      </c>
    </row>
    <row r="18" spans="1:15" ht="15" x14ac:dyDescent="0.2">
      <c r="A18" s="169" t="s">
        <v>57</v>
      </c>
      <c r="B18" s="46">
        <f t="shared" si="6"/>
        <v>60000</v>
      </c>
      <c r="C18" s="47">
        <v>5000</v>
      </c>
      <c r="D18" s="47">
        <v>5000</v>
      </c>
      <c r="E18" s="48">
        <v>5000</v>
      </c>
      <c r="F18" s="48">
        <v>5000</v>
      </c>
      <c r="G18" s="48">
        <v>5000</v>
      </c>
      <c r="H18" s="48">
        <v>5000</v>
      </c>
      <c r="I18" s="48">
        <v>5000</v>
      </c>
      <c r="J18" s="48">
        <v>5000</v>
      </c>
      <c r="K18" s="48">
        <v>5000</v>
      </c>
      <c r="L18" s="48">
        <v>5000</v>
      </c>
      <c r="M18" s="48">
        <v>5000</v>
      </c>
      <c r="N18" s="48">
        <v>5000</v>
      </c>
      <c r="O18" s="48">
        <f t="shared" si="5"/>
        <v>60000</v>
      </c>
    </row>
    <row r="19" spans="1:15" ht="15" x14ac:dyDescent="0.2">
      <c r="A19" s="169" t="s">
        <v>58</v>
      </c>
      <c r="B19" s="46">
        <f>SUM(C19:N19)</f>
        <v>2400</v>
      </c>
      <c r="C19" s="47">
        <v>200</v>
      </c>
      <c r="D19" s="47">
        <v>200</v>
      </c>
      <c r="E19" s="48">
        <v>200</v>
      </c>
      <c r="F19" s="48">
        <v>200</v>
      </c>
      <c r="G19" s="48">
        <v>200</v>
      </c>
      <c r="H19" s="48">
        <v>200</v>
      </c>
      <c r="I19" s="48">
        <v>200</v>
      </c>
      <c r="J19" s="48">
        <v>200</v>
      </c>
      <c r="K19" s="48">
        <v>200</v>
      </c>
      <c r="L19" s="48">
        <v>200</v>
      </c>
      <c r="M19" s="48">
        <v>200</v>
      </c>
      <c r="N19" s="48">
        <v>200</v>
      </c>
      <c r="O19" s="48">
        <f>SUM(C19:N19)</f>
        <v>2400</v>
      </c>
    </row>
    <row r="20" spans="1:15" ht="15" x14ac:dyDescent="0.2">
      <c r="A20" s="170" t="s">
        <v>59</v>
      </c>
      <c r="B20" s="46">
        <f t="shared" si="6"/>
        <v>7200</v>
      </c>
      <c r="C20" s="47">
        <v>600</v>
      </c>
      <c r="D20" s="47">
        <v>600</v>
      </c>
      <c r="E20" s="48">
        <v>600</v>
      </c>
      <c r="F20" s="48">
        <v>600</v>
      </c>
      <c r="G20" s="48">
        <v>600</v>
      </c>
      <c r="H20" s="48">
        <v>600</v>
      </c>
      <c r="I20" s="48">
        <v>600</v>
      </c>
      <c r="J20" s="48">
        <v>600</v>
      </c>
      <c r="K20" s="48">
        <v>600</v>
      </c>
      <c r="L20" s="48">
        <v>600</v>
      </c>
      <c r="M20" s="48">
        <v>600</v>
      </c>
      <c r="N20" s="48">
        <v>600</v>
      </c>
      <c r="O20" s="48">
        <f t="shared" si="5"/>
        <v>7200</v>
      </c>
    </row>
    <row r="21" spans="1:15" ht="15" x14ac:dyDescent="0.2">
      <c r="A21" s="170" t="s">
        <v>67</v>
      </c>
      <c r="B21" s="46">
        <f t="shared" si="6"/>
        <v>1200</v>
      </c>
      <c r="C21" s="47">
        <v>100</v>
      </c>
      <c r="D21" s="47">
        <v>100</v>
      </c>
      <c r="E21" s="48">
        <v>100</v>
      </c>
      <c r="F21" s="48">
        <v>100</v>
      </c>
      <c r="G21" s="48">
        <v>100</v>
      </c>
      <c r="H21" s="48">
        <v>100</v>
      </c>
      <c r="I21" s="48">
        <v>100</v>
      </c>
      <c r="J21" s="48">
        <v>100</v>
      </c>
      <c r="K21" s="48">
        <v>100</v>
      </c>
      <c r="L21" s="48">
        <v>100</v>
      </c>
      <c r="M21" s="48">
        <v>100</v>
      </c>
      <c r="N21" s="48">
        <v>100</v>
      </c>
      <c r="O21" s="48">
        <f t="shared" si="5"/>
        <v>1200</v>
      </c>
    </row>
    <row r="22" spans="1:15" ht="30.75" thickBot="1" x14ac:dyDescent="0.25">
      <c r="A22" s="169" t="s">
        <v>60</v>
      </c>
      <c r="B22" s="46">
        <f t="shared" si="6"/>
        <v>60000</v>
      </c>
      <c r="C22" s="47">
        <v>5000</v>
      </c>
      <c r="D22" s="47">
        <v>5000</v>
      </c>
      <c r="E22" s="48">
        <v>5000</v>
      </c>
      <c r="F22" s="48">
        <v>5000</v>
      </c>
      <c r="G22" s="48">
        <v>5000</v>
      </c>
      <c r="H22" s="48">
        <v>5000</v>
      </c>
      <c r="I22" s="48">
        <v>5000</v>
      </c>
      <c r="J22" s="48">
        <v>5000</v>
      </c>
      <c r="K22" s="48">
        <v>5000</v>
      </c>
      <c r="L22" s="48">
        <v>5000</v>
      </c>
      <c r="M22" s="48">
        <v>5000</v>
      </c>
      <c r="N22" s="48">
        <v>5000</v>
      </c>
      <c r="O22" s="48">
        <f t="shared" ref="O22" si="7">SUM(C22:N22)</f>
        <v>60000</v>
      </c>
    </row>
    <row r="23" spans="1:15" ht="17.25" thickTop="1" thickBot="1" x14ac:dyDescent="0.3">
      <c r="A23" s="161" t="s">
        <v>12</v>
      </c>
      <c r="B23" s="52">
        <f>SUM(B12:B22)</f>
        <v>786100</v>
      </c>
      <c r="C23" s="61">
        <f t="shared" ref="C23:O23" si="8">SUM(C13:C22)</f>
        <v>64550</v>
      </c>
      <c r="D23" s="61">
        <f t="shared" si="8"/>
        <v>64550</v>
      </c>
      <c r="E23" s="62">
        <f t="shared" si="8"/>
        <v>64550</v>
      </c>
      <c r="F23" s="62">
        <f t="shared" si="8"/>
        <v>71050</v>
      </c>
      <c r="G23" s="62">
        <f t="shared" si="8"/>
        <v>64550</v>
      </c>
      <c r="H23" s="62">
        <f t="shared" si="8"/>
        <v>64550</v>
      </c>
      <c r="I23" s="62">
        <f t="shared" si="8"/>
        <v>64550</v>
      </c>
      <c r="J23" s="62">
        <f t="shared" si="8"/>
        <v>64550</v>
      </c>
      <c r="K23" s="62">
        <f t="shared" si="8"/>
        <v>64550</v>
      </c>
      <c r="L23" s="62">
        <f t="shared" si="8"/>
        <v>69550</v>
      </c>
      <c r="M23" s="62">
        <f t="shared" si="8"/>
        <v>64550</v>
      </c>
      <c r="N23" s="62">
        <f t="shared" si="8"/>
        <v>64550</v>
      </c>
      <c r="O23" s="62">
        <f t="shared" si="8"/>
        <v>786100</v>
      </c>
    </row>
    <row r="24" spans="1:15" ht="17.25" thickTop="1" thickBot="1" x14ac:dyDescent="0.3">
      <c r="A24" s="163" t="s">
        <v>13</v>
      </c>
      <c r="B24" s="52">
        <f t="shared" ref="B24:O24" si="9">(B10)-(B23)</f>
        <v>352985.73696396686</v>
      </c>
      <c r="C24" s="63">
        <f t="shared" si="9"/>
        <v>113450</v>
      </c>
      <c r="D24" s="63">
        <f t="shared" si="9"/>
        <v>113450</v>
      </c>
      <c r="E24" s="64">
        <f t="shared" si="9"/>
        <v>77850</v>
      </c>
      <c r="F24" s="64">
        <f t="shared" si="9"/>
        <v>42870</v>
      </c>
      <c r="G24" s="64">
        <f t="shared" si="9"/>
        <v>44735.899999999994</v>
      </c>
      <c r="H24" s="64">
        <f t="shared" si="9"/>
        <v>28410</v>
      </c>
      <c r="I24" s="64">
        <f t="shared" si="9"/>
        <v>10870</v>
      </c>
      <c r="J24" s="64">
        <f t="shared" si="9"/>
        <v>2650</v>
      </c>
      <c r="K24" s="64">
        <f t="shared" si="9"/>
        <v>-7490</v>
      </c>
      <c r="L24" s="64">
        <f t="shared" si="9"/>
        <v>-21030.151599375007</v>
      </c>
      <c r="M24" s="64">
        <f t="shared" si="9"/>
        <v>-23350</v>
      </c>
      <c r="N24" s="64">
        <f t="shared" si="9"/>
        <v>-29430.011436658126</v>
      </c>
      <c r="O24" s="64">
        <f t="shared" si="9"/>
        <v>352985.73696396686</v>
      </c>
    </row>
    <row r="25" spans="1:15" ht="17.25" thickTop="1" thickBot="1" x14ac:dyDescent="0.3">
      <c r="A25" s="164" t="s">
        <v>14</v>
      </c>
      <c r="B25" s="66">
        <f>B24</f>
        <v>352985.73696396686</v>
      </c>
      <c r="C25" s="65">
        <f>C24</f>
        <v>113450</v>
      </c>
      <c r="D25" s="65">
        <f>D24</f>
        <v>113450</v>
      </c>
      <c r="E25" s="66">
        <f>E24</f>
        <v>77850</v>
      </c>
      <c r="F25" s="66">
        <f t="shared" ref="F25:O25" si="10">F24</f>
        <v>42870</v>
      </c>
      <c r="G25" s="66">
        <f t="shared" si="10"/>
        <v>44735.899999999994</v>
      </c>
      <c r="H25" s="66">
        <f t="shared" si="10"/>
        <v>28410</v>
      </c>
      <c r="I25" s="66">
        <f t="shared" si="10"/>
        <v>10870</v>
      </c>
      <c r="J25" s="66">
        <f t="shared" si="10"/>
        <v>2650</v>
      </c>
      <c r="K25" s="66">
        <f t="shared" si="10"/>
        <v>-7490</v>
      </c>
      <c r="L25" s="66">
        <f t="shared" si="10"/>
        <v>-21030.151599375007</v>
      </c>
      <c r="M25" s="66">
        <f t="shared" si="10"/>
        <v>-23350</v>
      </c>
      <c r="N25" s="66">
        <f t="shared" si="10"/>
        <v>-29430.011436658126</v>
      </c>
      <c r="O25" s="66">
        <f t="shared" si="10"/>
        <v>352985.73696396686</v>
      </c>
    </row>
    <row r="26" spans="1:15" ht="17.25" thickTop="1" thickBot="1" x14ac:dyDescent="0.3">
      <c r="A26" s="165" t="s">
        <v>15</v>
      </c>
      <c r="B26" s="67">
        <f>B25/B7</f>
        <v>0.12395405385543265</v>
      </c>
      <c r="C26" s="156">
        <f t="shared" ref="C26:O26" si="11">C25/C6</f>
        <v>0.25494382022471912</v>
      </c>
      <c r="D26" s="156">
        <f t="shared" si="11"/>
        <v>0.25494382022471912</v>
      </c>
      <c r="E26" s="155">
        <f t="shared" si="11"/>
        <v>0.21867977528089888</v>
      </c>
      <c r="F26" s="155">
        <f t="shared" si="11"/>
        <v>0.15052668539325842</v>
      </c>
      <c r="G26" s="155">
        <f t="shared" si="11"/>
        <v>0.16373896358084619</v>
      </c>
      <c r="H26" s="155">
        <f t="shared" si="11"/>
        <v>0.12224612736660929</v>
      </c>
      <c r="I26" s="155">
        <f t="shared" si="11"/>
        <v>5.7650490586051442E-2</v>
      </c>
      <c r="J26" s="155">
        <f t="shared" si="11"/>
        <v>1.5773809523809523E-2</v>
      </c>
      <c r="K26" s="155">
        <f t="shared" si="11"/>
        <v>-5.250613389414651E-2</v>
      </c>
      <c r="L26" s="155">
        <f t="shared" si="11"/>
        <v>-0.17337359693072835</v>
      </c>
      <c r="M26" s="155">
        <f t="shared" si="11"/>
        <v>-0.22669902912621359</v>
      </c>
      <c r="N26" s="155">
        <f t="shared" si="11"/>
        <v>-0.33519386128020634</v>
      </c>
      <c r="O26" s="155">
        <f t="shared" si="11"/>
        <v>0.12395405385543265</v>
      </c>
    </row>
    <row r="27" spans="1:15" ht="13.5" thickTop="1" x14ac:dyDescent="0.2">
      <c r="A27" s="59"/>
      <c r="B27" s="68"/>
      <c r="N27" s="50"/>
      <c r="O27" s="50"/>
    </row>
  </sheetData>
  <mergeCells count="2">
    <mergeCell ref="C3:D3"/>
    <mergeCell ref="E3:O3"/>
  </mergeCells>
  <pageMargins left="0.25" right="0.25" top="0.75" bottom="0.75" header="0.3" footer="0.3"/>
  <pageSetup orientation="portrait" horizontalDpi="300" verticalDpi="300" r:id="rId1"/>
  <headerFooter alignWithMargins="0">
    <oddHeader>&amp;CBEACON CFO PLUS LLC
INCOME STATEMENT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zoomScaleNormal="100" workbookViewId="0">
      <pane xSplit="1" ySplit="5" topLeftCell="H39" activePane="bottomRight" state="frozen"/>
      <selection activeCell="X34" sqref="X34"/>
      <selection pane="topRight" activeCell="X34" sqref="X34"/>
      <selection pane="bottomLeft" activeCell="X34" sqref="X34"/>
      <selection pane="bottomRight" activeCell="E49" sqref="E49"/>
    </sheetView>
  </sheetViews>
  <sheetFormatPr defaultRowHeight="12.75" x14ac:dyDescent="0.2"/>
  <cols>
    <col min="1" max="1" width="46.85546875" customWidth="1"/>
    <col min="2" max="2" width="17.7109375" customWidth="1"/>
    <col min="3" max="3" width="15.5703125" bestFit="1" customWidth="1"/>
    <col min="4" max="4" width="15.5703125" customWidth="1"/>
    <col min="5" max="14" width="15.42578125" customWidth="1"/>
    <col min="15" max="15" width="11.28515625" bestFit="1" customWidth="1"/>
    <col min="16" max="16" width="14.28515625" customWidth="1"/>
  </cols>
  <sheetData>
    <row r="1" spans="1:15" ht="18" x14ac:dyDescent="0.25">
      <c r="A1" s="69" t="s">
        <v>50</v>
      </c>
    </row>
    <row r="2" spans="1:15" ht="15.75" x14ac:dyDescent="0.25">
      <c r="A2" s="70" t="s">
        <v>16</v>
      </c>
      <c r="C2" s="23"/>
      <c r="E2" s="23"/>
      <c r="F2" s="154"/>
      <c r="G2" s="23"/>
      <c r="H2" s="23"/>
      <c r="I2" s="23"/>
      <c r="J2" s="23"/>
      <c r="K2" s="23"/>
      <c r="L2" s="23"/>
      <c r="M2" s="23"/>
      <c r="N2" s="23"/>
    </row>
    <row r="3" spans="1:15" ht="13.5" thickBot="1" x14ac:dyDescent="0.25">
      <c r="A3" s="49"/>
    </row>
    <row r="4" spans="1:15" ht="17.25" thickTop="1" thickBot="1" x14ac:dyDescent="0.3">
      <c r="A4" s="71"/>
      <c r="B4" s="72" t="s">
        <v>4</v>
      </c>
      <c r="C4" s="195" t="s">
        <v>4</v>
      </c>
      <c r="D4" s="195" t="s">
        <v>4</v>
      </c>
      <c r="E4" s="192" t="s">
        <v>1</v>
      </c>
      <c r="F4" s="193"/>
      <c r="G4" s="193"/>
      <c r="H4" s="193"/>
      <c r="I4" s="193"/>
      <c r="J4" s="193"/>
      <c r="K4" s="193"/>
      <c r="L4" s="193"/>
      <c r="M4" s="193"/>
      <c r="N4" s="194"/>
    </row>
    <row r="5" spans="1:15" ht="14.25" thickTop="1" thickBot="1" x14ac:dyDescent="0.25">
      <c r="A5" s="73"/>
      <c r="B5" s="74">
        <v>43830</v>
      </c>
      <c r="C5" s="38">
        <v>43858</v>
      </c>
      <c r="D5" s="75">
        <f>C5+26</f>
        <v>43884</v>
      </c>
      <c r="E5" s="76">
        <f t="shared" ref="E5:L5" si="0">D5+30</f>
        <v>43914</v>
      </c>
      <c r="F5" s="76">
        <f t="shared" si="0"/>
        <v>43944</v>
      </c>
      <c r="G5" s="76">
        <f t="shared" si="0"/>
        <v>43974</v>
      </c>
      <c r="H5" s="76">
        <f t="shared" si="0"/>
        <v>44004</v>
      </c>
      <c r="I5" s="76">
        <f>H5+30</f>
        <v>44034</v>
      </c>
      <c r="J5" s="76">
        <f>I5+30</f>
        <v>44064</v>
      </c>
      <c r="K5" s="76">
        <f t="shared" si="0"/>
        <v>44094</v>
      </c>
      <c r="L5" s="76">
        <f t="shared" si="0"/>
        <v>44124</v>
      </c>
      <c r="M5" s="39">
        <f>L5+40</f>
        <v>44164</v>
      </c>
      <c r="N5" s="76">
        <f>M5+30</f>
        <v>44194</v>
      </c>
    </row>
    <row r="6" spans="1:15" ht="15.75" thickTop="1" x14ac:dyDescent="0.2">
      <c r="A6" s="77" t="s">
        <v>17</v>
      </c>
      <c r="B6" s="78"/>
      <c r="C6" s="78"/>
      <c r="D6" s="78"/>
      <c r="E6" s="79"/>
      <c r="F6" s="79"/>
      <c r="G6" s="79"/>
      <c r="H6" s="79"/>
      <c r="I6" s="79"/>
      <c r="J6" s="79"/>
      <c r="K6" s="79"/>
      <c r="L6" s="79"/>
      <c r="M6" s="79"/>
      <c r="N6" s="42"/>
      <c r="O6" s="58"/>
    </row>
    <row r="7" spans="1:15" ht="15" x14ac:dyDescent="0.2">
      <c r="A7" s="176" t="s">
        <v>18</v>
      </c>
      <c r="B7" s="80">
        <f>B46</f>
        <v>217335</v>
      </c>
      <c r="C7" s="80">
        <f t="shared" ref="C7:N7" si="1">C46</f>
        <v>351322.5</v>
      </c>
      <c r="D7" s="80">
        <f t="shared" si="1"/>
        <v>485310</v>
      </c>
      <c r="E7" s="81">
        <f t="shared" si="1"/>
        <v>444797.5</v>
      </c>
      <c r="F7" s="81">
        <f t="shared" si="1"/>
        <v>390431</v>
      </c>
      <c r="G7" s="81">
        <f t="shared" si="1"/>
        <v>358900.25</v>
      </c>
      <c r="H7" s="81">
        <f t="shared" si="1"/>
        <v>50000</v>
      </c>
      <c r="I7" s="81">
        <f t="shared" si="1"/>
        <v>50000</v>
      </c>
      <c r="J7" s="81">
        <f t="shared" si="1"/>
        <v>50000</v>
      </c>
      <c r="K7" s="81">
        <f t="shared" si="1"/>
        <v>50000</v>
      </c>
      <c r="L7" s="81">
        <f t="shared" si="1"/>
        <v>50000</v>
      </c>
      <c r="M7" s="81">
        <f t="shared" si="1"/>
        <v>50000</v>
      </c>
      <c r="N7" s="81">
        <f t="shared" si="1"/>
        <v>50000</v>
      </c>
      <c r="O7" s="58"/>
    </row>
    <row r="8" spans="1:15" ht="15" x14ac:dyDescent="0.2">
      <c r="A8" s="176" t="s">
        <v>72</v>
      </c>
      <c r="B8" s="80">
        <v>55000</v>
      </c>
      <c r="C8" s="80">
        <v>55000</v>
      </c>
      <c r="D8" s="80">
        <v>55000</v>
      </c>
      <c r="E8" s="81">
        <v>60500.000000000007</v>
      </c>
      <c r="F8" s="81">
        <v>63500.000000000007</v>
      </c>
      <c r="G8" s="81">
        <v>66700.000000000015</v>
      </c>
      <c r="H8" s="81">
        <v>70100.000000000015</v>
      </c>
      <c r="I8" s="81">
        <v>73700.000000000015</v>
      </c>
      <c r="J8" s="81">
        <v>77400.000000000015</v>
      </c>
      <c r="K8" s="81">
        <v>81300.000000000015</v>
      </c>
      <c r="L8" s="81">
        <v>85400.000000000015</v>
      </c>
      <c r="M8" s="81">
        <v>89700.000000000015</v>
      </c>
      <c r="N8" s="81">
        <v>94200.000000000015</v>
      </c>
      <c r="O8" s="58"/>
    </row>
    <row r="9" spans="1:15" ht="15.75" thickBot="1" x14ac:dyDescent="0.25">
      <c r="A9" s="176" t="s">
        <v>19</v>
      </c>
      <c r="B9" s="80">
        <v>246450</v>
      </c>
      <c r="C9" s="129">
        <f>B9-($B9/12)</f>
        <v>225912.5</v>
      </c>
      <c r="D9" s="129">
        <f>C9-($B9/12)</f>
        <v>205375</v>
      </c>
      <c r="E9" s="96">
        <f>D9-($B9/12)</f>
        <v>184837.5</v>
      </c>
      <c r="F9" s="96">
        <f>E9-($B9/12)</f>
        <v>164300</v>
      </c>
      <c r="G9" s="96">
        <f t="shared" ref="G9:M9" si="2">F9-($B9/12)</f>
        <v>143762.5</v>
      </c>
      <c r="H9" s="96">
        <f t="shared" si="2"/>
        <v>123225</v>
      </c>
      <c r="I9" s="96">
        <f t="shared" si="2"/>
        <v>102687.5</v>
      </c>
      <c r="J9" s="96">
        <f t="shared" si="2"/>
        <v>82150</v>
      </c>
      <c r="K9" s="96">
        <f t="shared" si="2"/>
        <v>61612.5</v>
      </c>
      <c r="L9" s="96">
        <f t="shared" si="2"/>
        <v>41075</v>
      </c>
      <c r="M9" s="96">
        <f t="shared" si="2"/>
        <v>20537.5</v>
      </c>
      <c r="N9" s="96">
        <f>M9-($B9/12)+14400</f>
        <v>14400</v>
      </c>
      <c r="O9" s="58"/>
    </row>
    <row r="10" spans="1:15" ht="17.25" thickTop="1" thickBot="1" x14ac:dyDescent="0.3">
      <c r="A10" s="165" t="s">
        <v>73</v>
      </c>
      <c r="B10" s="87">
        <f>B7+B8+B9</f>
        <v>518785</v>
      </c>
      <c r="C10" s="87">
        <f>C7+C8+C9</f>
        <v>632235</v>
      </c>
      <c r="D10" s="87">
        <f>D7+D8+D9</f>
        <v>745685</v>
      </c>
      <c r="E10" s="88">
        <f>E7+E8+E9</f>
        <v>690135</v>
      </c>
      <c r="F10" s="88">
        <f>F7+F8+F9</f>
        <v>618231</v>
      </c>
      <c r="G10" s="88">
        <f>G7+G8+G9</f>
        <v>569362.75</v>
      </c>
      <c r="H10" s="88">
        <f>H7+H8+H9</f>
        <v>243325</v>
      </c>
      <c r="I10" s="88">
        <f>I7+I8+I9</f>
        <v>226387.5</v>
      </c>
      <c r="J10" s="88">
        <f>J7+J8+J9</f>
        <v>209550</v>
      </c>
      <c r="K10" s="88">
        <f>K7+K8+K9</f>
        <v>192912.5</v>
      </c>
      <c r="L10" s="88">
        <f>L7+L8+L9</f>
        <v>176475</v>
      </c>
      <c r="M10" s="88">
        <f>M7+M8+M9</f>
        <v>160237.5</v>
      </c>
      <c r="N10" s="88">
        <f>N7+N8+N9</f>
        <v>158600</v>
      </c>
      <c r="O10" s="58"/>
    </row>
    <row r="11" spans="1:15" ht="16.5" thickTop="1" x14ac:dyDescent="0.25">
      <c r="A11" s="196" t="s">
        <v>20</v>
      </c>
      <c r="B11" s="82">
        <v>100000</v>
      </c>
      <c r="C11" s="89">
        <f>B11</f>
        <v>100000</v>
      </c>
      <c r="D11" s="89">
        <f>C11</f>
        <v>100000</v>
      </c>
      <c r="E11" s="90">
        <f>D11</f>
        <v>100000</v>
      </c>
      <c r="F11" s="90">
        <f t="shared" ref="F11:N11" si="3">E11</f>
        <v>100000</v>
      </c>
      <c r="G11" s="90">
        <f t="shared" si="3"/>
        <v>100000</v>
      </c>
      <c r="H11" s="90">
        <f t="shared" si="3"/>
        <v>100000</v>
      </c>
      <c r="I11" s="90">
        <f t="shared" si="3"/>
        <v>100000</v>
      </c>
      <c r="J11" s="90">
        <f t="shared" si="3"/>
        <v>100000</v>
      </c>
      <c r="K11" s="90">
        <f t="shared" si="3"/>
        <v>100000</v>
      </c>
      <c r="L11" s="90">
        <f t="shared" si="3"/>
        <v>100000</v>
      </c>
      <c r="M11" s="90">
        <f t="shared" si="3"/>
        <v>100000</v>
      </c>
      <c r="N11" s="90">
        <f t="shared" si="3"/>
        <v>100000</v>
      </c>
      <c r="O11" s="58"/>
    </row>
    <row r="12" spans="1:15" ht="16.5" thickBot="1" x14ac:dyDescent="0.3">
      <c r="A12" s="196" t="s">
        <v>52</v>
      </c>
      <c r="B12" s="197"/>
      <c r="C12" s="129">
        <f>-C40</f>
        <v>0</v>
      </c>
      <c r="D12" s="129">
        <f>-D40+C12</f>
        <v>0</v>
      </c>
      <c r="E12" s="90">
        <f>-E40+D12</f>
        <v>80000</v>
      </c>
      <c r="F12" s="90">
        <f>-F40+E12</f>
        <v>160000</v>
      </c>
      <c r="G12" s="90">
        <f>-G40+F12</f>
        <v>240000</v>
      </c>
      <c r="H12" s="90">
        <f>-H40+G12</f>
        <v>620000</v>
      </c>
      <c r="I12" s="90">
        <f>-I40+H12</f>
        <v>700000</v>
      </c>
      <c r="J12" s="90">
        <f>-J40+I12</f>
        <v>780000</v>
      </c>
      <c r="K12" s="90">
        <f>-K40+J12</f>
        <v>860000</v>
      </c>
      <c r="L12" s="90">
        <f>-L40+K12</f>
        <v>940000</v>
      </c>
      <c r="M12" s="90">
        <f>-M40+L12</f>
        <v>1020000</v>
      </c>
      <c r="N12" s="90">
        <f>-N40+M12</f>
        <v>1100000</v>
      </c>
      <c r="O12" s="58"/>
    </row>
    <row r="13" spans="1:15" ht="17.25" thickTop="1" thickBot="1" x14ac:dyDescent="0.3">
      <c r="A13" s="198" t="s">
        <v>74</v>
      </c>
      <c r="B13" s="87">
        <f>SUM(B11:B12)</f>
        <v>100000</v>
      </c>
      <c r="C13" s="87">
        <f t="shared" ref="C13:D13" si="4">SUM(C11:C12)</f>
        <v>100000</v>
      </c>
      <c r="D13" s="87">
        <f t="shared" si="4"/>
        <v>100000</v>
      </c>
      <c r="E13" s="84">
        <f>SUM(E11:E12)</f>
        <v>180000</v>
      </c>
      <c r="F13" s="84">
        <f t="shared" ref="F13:I13" si="5">SUM(F11:F12)</f>
        <v>260000</v>
      </c>
      <c r="G13" s="84">
        <f t="shared" si="5"/>
        <v>340000</v>
      </c>
      <c r="H13" s="84">
        <f t="shared" si="5"/>
        <v>720000</v>
      </c>
      <c r="I13" s="84">
        <f t="shared" si="5"/>
        <v>800000</v>
      </c>
      <c r="J13" s="84">
        <f t="shared" ref="J13" si="6">SUM(J11:J12)</f>
        <v>880000</v>
      </c>
      <c r="K13" s="84">
        <f t="shared" ref="K13" si="7">SUM(K11:K12)</f>
        <v>960000</v>
      </c>
      <c r="L13" s="84">
        <f t="shared" ref="L13:M13" si="8">SUM(L11:L12)</f>
        <v>1040000</v>
      </c>
      <c r="M13" s="84">
        <f t="shared" si="8"/>
        <v>1120000</v>
      </c>
      <c r="N13" s="84">
        <f t="shared" ref="N13" si="9">SUM(N11:N12)</f>
        <v>1200000</v>
      </c>
      <c r="O13" s="58"/>
    </row>
    <row r="14" spans="1:15" ht="17.25" thickTop="1" thickBot="1" x14ac:dyDescent="0.3">
      <c r="A14" s="165" t="s">
        <v>21</v>
      </c>
      <c r="B14" s="87">
        <f t="shared" ref="B14:N14" si="10">B10+B13</f>
        <v>618785</v>
      </c>
      <c r="C14" s="87">
        <f t="shared" si="10"/>
        <v>732235</v>
      </c>
      <c r="D14" s="87">
        <f t="shared" si="10"/>
        <v>845685</v>
      </c>
      <c r="E14" s="88">
        <f t="shared" si="10"/>
        <v>870135</v>
      </c>
      <c r="F14" s="88">
        <f t="shared" si="10"/>
        <v>878231</v>
      </c>
      <c r="G14" s="88">
        <f t="shared" si="10"/>
        <v>909362.75</v>
      </c>
      <c r="H14" s="88">
        <f t="shared" si="10"/>
        <v>963325</v>
      </c>
      <c r="I14" s="88">
        <f t="shared" si="10"/>
        <v>1026387.5</v>
      </c>
      <c r="J14" s="88">
        <f t="shared" si="10"/>
        <v>1089550</v>
      </c>
      <c r="K14" s="88">
        <f t="shared" si="10"/>
        <v>1152912.5</v>
      </c>
      <c r="L14" s="88">
        <f t="shared" si="10"/>
        <v>1216475</v>
      </c>
      <c r="M14" s="88">
        <f t="shared" si="10"/>
        <v>1280237.5</v>
      </c>
      <c r="N14" s="88">
        <f t="shared" si="10"/>
        <v>1358600</v>
      </c>
      <c r="O14" s="58"/>
    </row>
    <row r="15" spans="1:15" ht="16.5" thickTop="1" x14ac:dyDescent="0.25">
      <c r="A15" s="199" t="s">
        <v>22</v>
      </c>
      <c r="B15" s="82"/>
      <c r="C15" s="91"/>
      <c r="D15" s="91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58"/>
    </row>
    <row r="16" spans="1:15" ht="15.75" x14ac:dyDescent="0.25">
      <c r="A16" s="202" t="s">
        <v>75</v>
      </c>
      <c r="B16" s="82"/>
      <c r="C16" s="80"/>
      <c r="D16" s="80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58"/>
    </row>
    <row r="17" spans="1:16" ht="15.75" x14ac:dyDescent="0.25">
      <c r="A17" s="200" t="s">
        <v>63</v>
      </c>
      <c r="B17" s="82">
        <f>Revenue!C30+'P&amp;LJan-Dec 20'!C23</f>
        <v>331550</v>
      </c>
      <c r="C17" s="82">
        <f>Revenue!C30+'P&amp;LJan-Dec 20'!C23</f>
        <v>331550</v>
      </c>
      <c r="D17" s="82">
        <f>Revenue!D30+'P&amp;LJan-Dec 20'!D23</f>
        <v>331550</v>
      </c>
      <c r="E17" s="93">
        <f>Revenue!E30+'P&amp;LJan-Dec 20'!E23</f>
        <v>278150</v>
      </c>
      <c r="F17" s="93">
        <f>Revenue!F30+'P&amp;LJan-Dec 20'!F23*(1+2%)+25</f>
        <v>243376</v>
      </c>
      <c r="G17" s="93">
        <f>Revenue!G30+'P&amp;LJan-Dec 20'!G23*(1+2%)+2</f>
        <v>229771.85</v>
      </c>
      <c r="H17" s="93">
        <f>Revenue!H30+'P&amp;LJan-Dec 20'!H23*(1+2%)+55</f>
        <v>205336</v>
      </c>
      <c r="I17" s="93">
        <f>Revenue!I30+'P&amp;LJan-Dec 20'!I23*(1+2%)+55</f>
        <v>179026</v>
      </c>
      <c r="J17" s="93">
        <f>Revenue!J30+'P&amp;LJan-Dec 20'!J23*(1+2%)+55</f>
        <v>166696</v>
      </c>
      <c r="K17" s="93">
        <f>Revenue!K30+'P&amp;LJan-Dec 20'!K23*(1+2%)+55</f>
        <v>151486</v>
      </c>
      <c r="L17" s="93">
        <f>Revenue!L30+'P&amp;LJan-Dec 20'!L23*(1+2%)+55</f>
        <v>143775.77260093752</v>
      </c>
      <c r="M17" s="93">
        <f>Revenue!M30+'P&amp;LJan-Dec 20'!M23*(1+2%)+55</f>
        <v>127696</v>
      </c>
      <c r="N17" s="93">
        <f>Revenue!N30+'P&amp;LJan-Dec 20'!N23*(1+2%)+55</f>
        <v>118575.98284501281</v>
      </c>
      <c r="O17" s="58"/>
    </row>
    <row r="18" spans="1:16" ht="15.75" x14ac:dyDescent="0.25">
      <c r="A18" s="201" t="s">
        <v>51</v>
      </c>
      <c r="B18" s="83">
        <v>134850</v>
      </c>
      <c r="C18" s="83">
        <f>B18+C44</f>
        <v>134850</v>
      </c>
      <c r="D18" s="83">
        <f>C18+D44</f>
        <v>134850</v>
      </c>
      <c r="E18" s="84">
        <f>D18+E44</f>
        <v>134850</v>
      </c>
      <c r="F18" s="84">
        <f>E18+F44</f>
        <v>134850</v>
      </c>
      <c r="G18" s="84">
        <f>F18+G44</f>
        <v>134850</v>
      </c>
      <c r="H18" s="84">
        <f>G18+H44</f>
        <v>184838.09999999998</v>
      </c>
      <c r="I18" s="84">
        <f>H18+I44</f>
        <v>263340.59999999998</v>
      </c>
      <c r="J18" s="84">
        <f>I18+J44</f>
        <v>336183.1</v>
      </c>
      <c r="K18" s="84">
        <f>J18+K44</f>
        <v>400000</v>
      </c>
      <c r="L18" s="84">
        <f>K18+L44</f>
        <v>400000</v>
      </c>
      <c r="M18" s="84">
        <f>L18+M44</f>
        <v>400000</v>
      </c>
      <c r="N18" s="84">
        <f>M18+N44</f>
        <v>400000</v>
      </c>
      <c r="O18" s="58"/>
    </row>
    <row r="19" spans="1:16" ht="15.75" x14ac:dyDescent="0.25">
      <c r="A19" s="201" t="s">
        <v>76</v>
      </c>
      <c r="B19" s="85"/>
      <c r="C19" s="85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58"/>
    </row>
    <row r="20" spans="1:16" ht="16.5" thickBot="1" x14ac:dyDescent="0.3">
      <c r="A20" s="203" t="s">
        <v>77</v>
      </c>
      <c r="B20" s="85">
        <v>0</v>
      </c>
      <c r="C20" s="85">
        <v>0</v>
      </c>
      <c r="D20" s="85">
        <v>0</v>
      </c>
      <c r="E20" s="86">
        <f>E45</f>
        <v>0</v>
      </c>
      <c r="F20" s="86">
        <f>E20+F45</f>
        <v>0</v>
      </c>
      <c r="G20" s="86">
        <f>F20+G45</f>
        <v>0</v>
      </c>
      <c r="H20" s="86">
        <f>G20+H45</f>
        <v>0</v>
      </c>
      <c r="I20" s="86">
        <f>H20+I45</f>
        <v>0</v>
      </c>
      <c r="J20" s="86">
        <f>I20+J45</f>
        <v>0</v>
      </c>
      <c r="K20" s="86">
        <f>J20+K45</f>
        <v>22245.599999999977</v>
      </c>
      <c r="L20" s="86">
        <f>K20+L45</f>
        <v>114548.47899843747</v>
      </c>
      <c r="M20" s="86">
        <f>L20+M45</f>
        <v>217740.75159937498</v>
      </c>
      <c r="N20" s="86">
        <f>M20+N45</f>
        <v>334653.28019102028</v>
      </c>
      <c r="O20" s="58"/>
    </row>
    <row r="21" spans="1:16" ht="17.25" thickTop="1" thickBot="1" x14ac:dyDescent="0.3">
      <c r="A21" s="165" t="s">
        <v>23</v>
      </c>
      <c r="B21" s="87">
        <f>SUM(B17:B20)</f>
        <v>466400</v>
      </c>
      <c r="C21" s="87">
        <f>SUM(C17:C20)</f>
        <v>466400</v>
      </c>
      <c r="D21" s="87">
        <f>SUM(D17:D20)</f>
        <v>466400</v>
      </c>
      <c r="E21" s="88">
        <f>SUM(E17:E20)</f>
        <v>413000</v>
      </c>
      <c r="F21" s="88">
        <f>SUM(F17:F20)</f>
        <v>378226</v>
      </c>
      <c r="G21" s="88">
        <f>SUM(G17:G20)</f>
        <v>364621.85</v>
      </c>
      <c r="H21" s="88">
        <f>SUM(H17:H20)</f>
        <v>390174.1</v>
      </c>
      <c r="I21" s="88">
        <f>SUM(I17:I20)</f>
        <v>442366.6</v>
      </c>
      <c r="J21" s="88">
        <f>SUM(J17:J20)</f>
        <v>502879.1</v>
      </c>
      <c r="K21" s="88">
        <f>SUM(K17:K20)</f>
        <v>573731.6</v>
      </c>
      <c r="L21" s="88">
        <f>SUM(L17:L20)</f>
        <v>658324.25159937493</v>
      </c>
      <c r="M21" s="88">
        <f>SUM(M17:M20)</f>
        <v>745436.75159937493</v>
      </c>
      <c r="N21" s="88">
        <f>SUM(N17:N20)</f>
        <v>853229.26303603314</v>
      </c>
      <c r="O21" s="58"/>
    </row>
    <row r="22" spans="1:16" ht="16.5" thickTop="1" x14ac:dyDescent="0.25">
      <c r="A22" s="172" t="s">
        <v>24</v>
      </c>
      <c r="B22" s="209"/>
      <c r="C22" s="78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58"/>
      <c r="P22" s="153"/>
    </row>
    <row r="23" spans="1:16" ht="15" x14ac:dyDescent="0.2">
      <c r="A23" s="204" t="s">
        <v>64</v>
      </c>
      <c r="B23" s="208">
        <v>50000</v>
      </c>
      <c r="C23" s="208">
        <v>50000</v>
      </c>
      <c r="D23" s="208">
        <v>50000</v>
      </c>
      <c r="E23" s="94">
        <f>D23</f>
        <v>50000</v>
      </c>
      <c r="F23" s="94">
        <f t="shared" ref="F23:N23" si="11">E23</f>
        <v>50000</v>
      </c>
      <c r="G23" s="94">
        <f t="shared" si="11"/>
        <v>50000</v>
      </c>
      <c r="H23" s="94">
        <f t="shared" si="11"/>
        <v>50000</v>
      </c>
      <c r="I23" s="94">
        <f t="shared" si="11"/>
        <v>50000</v>
      </c>
      <c r="J23" s="94">
        <f t="shared" si="11"/>
        <v>50000</v>
      </c>
      <c r="K23" s="94">
        <f t="shared" si="11"/>
        <v>50000</v>
      </c>
      <c r="L23" s="94">
        <f t="shared" si="11"/>
        <v>50000</v>
      </c>
      <c r="M23" s="94">
        <f t="shared" si="11"/>
        <v>50000</v>
      </c>
      <c r="N23" s="94">
        <f t="shared" si="11"/>
        <v>50000</v>
      </c>
      <c r="O23" s="58"/>
    </row>
    <row r="24" spans="1:16" ht="15.75" x14ac:dyDescent="0.25">
      <c r="A24" s="204" t="s">
        <v>25</v>
      </c>
      <c r="B24" s="207">
        <v>100000</v>
      </c>
      <c r="C24" s="95">
        <f>SUM(B24:B26)</f>
        <v>102385</v>
      </c>
      <c r="D24" s="95">
        <f t="shared" ref="D24:M25" si="12">C24</f>
        <v>102385</v>
      </c>
      <c r="E24" s="94">
        <f t="shared" si="12"/>
        <v>102385</v>
      </c>
      <c r="F24" s="94">
        <f t="shared" si="12"/>
        <v>102385</v>
      </c>
      <c r="G24" s="94">
        <f t="shared" si="12"/>
        <v>102385</v>
      </c>
      <c r="H24" s="94">
        <f t="shared" si="12"/>
        <v>102385</v>
      </c>
      <c r="I24" s="94">
        <f t="shared" si="12"/>
        <v>102385</v>
      </c>
      <c r="J24" s="94">
        <f t="shared" si="12"/>
        <v>102385</v>
      </c>
      <c r="K24" s="94">
        <f t="shared" si="12"/>
        <v>102385</v>
      </c>
      <c r="L24" s="94">
        <f t="shared" si="12"/>
        <v>102385</v>
      </c>
      <c r="M24" s="94">
        <f t="shared" si="12"/>
        <v>102385</v>
      </c>
      <c r="N24" s="94">
        <f>M24</f>
        <v>102385</v>
      </c>
      <c r="O24" s="58"/>
    </row>
    <row r="25" spans="1:16" ht="15.75" x14ac:dyDescent="0.25">
      <c r="A25" s="205" t="s">
        <v>26</v>
      </c>
      <c r="B25" s="82">
        <v>-51660</v>
      </c>
      <c r="C25" s="82">
        <v>0</v>
      </c>
      <c r="D25" s="82">
        <f>C25</f>
        <v>0</v>
      </c>
      <c r="E25" s="90">
        <f>D25</f>
        <v>0</v>
      </c>
      <c r="F25" s="90">
        <f t="shared" si="12"/>
        <v>0</v>
      </c>
      <c r="G25" s="90">
        <f t="shared" si="12"/>
        <v>0</v>
      </c>
      <c r="H25" s="90">
        <f t="shared" si="12"/>
        <v>0</v>
      </c>
      <c r="I25" s="90">
        <f t="shared" si="12"/>
        <v>0</v>
      </c>
      <c r="J25" s="90">
        <f t="shared" si="12"/>
        <v>0</v>
      </c>
      <c r="K25" s="90">
        <f t="shared" si="12"/>
        <v>0</v>
      </c>
      <c r="L25" s="90">
        <f t="shared" si="12"/>
        <v>0</v>
      </c>
      <c r="M25" s="90">
        <f t="shared" si="12"/>
        <v>0</v>
      </c>
      <c r="N25" s="90">
        <f>M25+SUM('[1]wkly cash flow'!HI9:HM10)</f>
        <v>0</v>
      </c>
      <c r="O25" s="58"/>
    </row>
    <row r="26" spans="1:16" ht="16.5" thickBot="1" x14ac:dyDescent="0.3">
      <c r="A26" s="206" t="s">
        <v>14</v>
      </c>
      <c r="B26" s="82">
        <v>54045</v>
      </c>
      <c r="C26" s="82">
        <f>'P&amp;LJan-Dec 20'!C25</f>
        <v>113450</v>
      </c>
      <c r="D26" s="82">
        <f>C26+'P&amp;LJan-Dec 20'!D25</f>
        <v>226900</v>
      </c>
      <c r="E26" s="96">
        <f>D26+'P&amp;LJan-Dec 20'!E25</f>
        <v>304750</v>
      </c>
      <c r="F26" s="96">
        <f>E26+'P&amp;LJan-Dec 20'!F25</f>
        <v>347620</v>
      </c>
      <c r="G26" s="96">
        <f>F26+'P&amp;LJan-Dec 20'!G25</f>
        <v>392355.9</v>
      </c>
      <c r="H26" s="96">
        <f>G26+'P&amp;LJan-Dec 20'!H25</f>
        <v>420765.9</v>
      </c>
      <c r="I26" s="96">
        <f>H26+'P&amp;LJan-Dec 20'!I25</f>
        <v>431635.9</v>
      </c>
      <c r="J26" s="96">
        <f>I26+'P&amp;LJan-Dec 20'!J25</f>
        <v>434285.9</v>
      </c>
      <c r="K26" s="96">
        <f>J26+'P&amp;LJan-Dec 20'!K25</f>
        <v>426795.9</v>
      </c>
      <c r="L26" s="96">
        <f>K26+'P&amp;LJan-Dec 20'!L25</f>
        <v>405765.74840062502</v>
      </c>
      <c r="M26" s="96">
        <f>L26+'P&amp;LJan-Dec 20'!M25</f>
        <v>382415.74840062502</v>
      </c>
      <c r="N26" s="96">
        <f>M26+'P&amp;LJan-Dec 20'!N25</f>
        <v>352985.73696396686</v>
      </c>
      <c r="O26" s="58"/>
    </row>
    <row r="27" spans="1:16" ht="17.25" thickTop="1" thickBot="1" x14ac:dyDescent="0.3">
      <c r="A27" s="165" t="s">
        <v>78</v>
      </c>
      <c r="B27" s="87">
        <f>SUM(B23:B26)</f>
        <v>152385</v>
      </c>
      <c r="C27" s="87">
        <f t="shared" ref="C27:M27" si="13">SUM(C23:C26)</f>
        <v>265835</v>
      </c>
      <c r="D27" s="87">
        <f t="shared" si="13"/>
        <v>379285</v>
      </c>
      <c r="E27" s="88">
        <f t="shared" si="13"/>
        <v>457135</v>
      </c>
      <c r="F27" s="88">
        <f t="shared" si="13"/>
        <v>500005</v>
      </c>
      <c r="G27" s="88">
        <f t="shared" si="13"/>
        <v>544740.9</v>
      </c>
      <c r="H27" s="88">
        <f t="shared" si="13"/>
        <v>573150.9</v>
      </c>
      <c r="I27" s="88">
        <f t="shared" si="13"/>
        <v>584020.9</v>
      </c>
      <c r="J27" s="88">
        <f t="shared" si="13"/>
        <v>586670.9</v>
      </c>
      <c r="K27" s="88">
        <f t="shared" si="13"/>
        <v>579180.9</v>
      </c>
      <c r="L27" s="88">
        <f t="shared" si="13"/>
        <v>558150.74840062507</v>
      </c>
      <c r="M27" s="88">
        <f t="shared" si="13"/>
        <v>534800.74840062507</v>
      </c>
      <c r="N27" s="88">
        <f>SUM(N23:N26)</f>
        <v>505370.73696396686</v>
      </c>
      <c r="O27" s="58"/>
    </row>
    <row r="28" spans="1:16" ht="17.25" thickTop="1" thickBot="1" x14ac:dyDescent="0.3">
      <c r="A28" s="165" t="s">
        <v>27</v>
      </c>
      <c r="B28" s="87">
        <f t="shared" ref="B28:N28" si="14">(B21)+(B27)</f>
        <v>618785</v>
      </c>
      <c r="C28" s="87">
        <f t="shared" si="14"/>
        <v>732235</v>
      </c>
      <c r="D28" s="87">
        <f t="shared" si="14"/>
        <v>845685</v>
      </c>
      <c r="E28" s="88">
        <f t="shared" si="14"/>
        <v>870135</v>
      </c>
      <c r="F28" s="88">
        <f t="shared" si="14"/>
        <v>878231</v>
      </c>
      <c r="G28" s="88">
        <f t="shared" si="14"/>
        <v>909362.75</v>
      </c>
      <c r="H28" s="88">
        <f t="shared" si="14"/>
        <v>963325</v>
      </c>
      <c r="I28" s="88">
        <f t="shared" si="14"/>
        <v>1026387.5</v>
      </c>
      <c r="J28" s="88">
        <f t="shared" si="14"/>
        <v>1089550</v>
      </c>
      <c r="K28" s="88">
        <f t="shared" si="14"/>
        <v>1152912.5</v>
      </c>
      <c r="L28" s="88">
        <f t="shared" si="14"/>
        <v>1216475</v>
      </c>
      <c r="M28" s="88">
        <f t="shared" si="14"/>
        <v>1280237.5</v>
      </c>
      <c r="N28" s="88">
        <f t="shared" si="14"/>
        <v>1358600</v>
      </c>
      <c r="O28" s="58"/>
    </row>
    <row r="29" spans="1:16" ht="16.5" hidden="1" customHeight="1" thickTop="1" x14ac:dyDescent="0.2">
      <c r="A29" s="173"/>
      <c r="B29" s="97">
        <f>B14-B28</f>
        <v>0</v>
      </c>
      <c r="C29" s="98">
        <f>C14-C28</f>
        <v>0</v>
      </c>
      <c r="D29" s="98">
        <f>D14-D28</f>
        <v>0</v>
      </c>
      <c r="E29" s="98">
        <f>E14-E28</f>
        <v>0</v>
      </c>
      <c r="F29" s="98">
        <f>F14-F28</f>
        <v>0</v>
      </c>
      <c r="G29" s="98">
        <f>G14-G28</f>
        <v>0</v>
      </c>
      <c r="H29" s="98">
        <f>H14-H28</f>
        <v>0</v>
      </c>
      <c r="I29" s="98">
        <f>I14-I28</f>
        <v>0</v>
      </c>
      <c r="J29" s="98">
        <f>J14-J28</f>
        <v>0</v>
      </c>
      <c r="K29" s="98">
        <f>K14-K28</f>
        <v>0</v>
      </c>
      <c r="L29" s="98">
        <f>L14-L28</f>
        <v>0</v>
      </c>
      <c r="M29" s="98">
        <f>M14-M28</f>
        <v>0</v>
      </c>
      <c r="N29" s="99">
        <f>N14-N28</f>
        <v>0</v>
      </c>
    </row>
    <row r="30" spans="1:16" ht="15.75" thickTop="1" x14ac:dyDescent="0.2">
      <c r="A30" s="173"/>
      <c r="B30" s="100">
        <f>B14-B28</f>
        <v>0</v>
      </c>
      <c r="C30" s="100">
        <f>C14-C28</f>
        <v>0</v>
      </c>
      <c r="D30" s="100">
        <f>D14-D28</f>
        <v>0</v>
      </c>
      <c r="E30" s="100">
        <f>E14-E28</f>
        <v>0</v>
      </c>
      <c r="F30" s="100">
        <f>F14-F28</f>
        <v>0</v>
      </c>
      <c r="G30" s="100">
        <f>G14-G28</f>
        <v>0</v>
      </c>
      <c r="H30" s="100">
        <f>H14-H28</f>
        <v>0</v>
      </c>
      <c r="I30" s="100">
        <f>I14-I28</f>
        <v>0</v>
      </c>
      <c r="J30" s="100">
        <f>J14-J28</f>
        <v>0</v>
      </c>
      <c r="K30" s="100">
        <f>K14-K28</f>
        <v>0</v>
      </c>
      <c r="L30" s="100">
        <f>L14-L28</f>
        <v>0</v>
      </c>
      <c r="M30" s="100">
        <f>M14-M28</f>
        <v>0</v>
      </c>
      <c r="N30" s="100">
        <f>N14-N28</f>
        <v>0</v>
      </c>
    </row>
    <row r="31" spans="1:16" s="27" customFormat="1" ht="16.5" thickBot="1" x14ac:dyDescent="0.3">
      <c r="A31" s="174" t="s">
        <v>50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</row>
    <row r="32" spans="1:16" s="27" customFormat="1" ht="16.5" thickTop="1" thickBot="1" x14ac:dyDescent="0.25">
      <c r="A32" s="116" t="s">
        <v>28</v>
      </c>
      <c r="B32" s="72" t="s">
        <v>4</v>
      </c>
      <c r="C32" s="72" t="s">
        <v>4</v>
      </c>
      <c r="D32" s="72" t="s">
        <v>4</v>
      </c>
      <c r="E32" s="189" t="s">
        <v>1</v>
      </c>
      <c r="F32" s="190"/>
      <c r="G32" s="190"/>
      <c r="H32" s="190"/>
      <c r="I32" s="190"/>
      <c r="J32" s="190"/>
      <c r="K32" s="190"/>
      <c r="L32" s="190"/>
      <c r="M32" s="190"/>
      <c r="N32" s="191"/>
    </row>
    <row r="33" spans="1:15" s="27" customFormat="1" ht="16.5" thickTop="1" thickBot="1" x14ac:dyDescent="0.25">
      <c r="A33" s="175"/>
      <c r="B33" s="115">
        <f>B5</f>
        <v>43830</v>
      </c>
      <c r="C33" s="101">
        <f>B33+31</f>
        <v>43861</v>
      </c>
      <c r="D33" s="101">
        <f>C33+28</f>
        <v>43889</v>
      </c>
      <c r="E33" s="102">
        <f>D33+28</f>
        <v>43917</v>
      </c>
      <c r="F33" s="102">
        <f t="shared" ref="F33:K33" si="15">E33+28</f>
        <v>43945</v>
      </c>
      <c r="G33" s="102">
        <f t="shared" si="15"/>
        <v>43973</v>
      </c>
      <c r="H33" s="102">
        <f t="shared" si="15"/>
        <v>44001</v>
      </c>
      <c r="I33" s="102">
        <f>H33+28</f>
        <v>44029</v>
      </c>
      <c r="J33" s="102">
        <f>I33+28</f>
        <v>44057</v>
      </c>
      <c r="K33" s="102">
        <f t="shared" si="15"/>
        <v>44085</v>
      </c>
      <c r="L33" s="102">
        <f>K33+28</f>
        <v>44113</v>
      </c>
      <c r="M33" s="102">
        <f>L33+28</f>
        <v>44141</v>
      </c>
      <c r="N33" s="102">
        <f>M33+28</f>
        <v>44169</v>
      </c>
    </row>
    <row r="34" spans="1:15" s="27" customFormat="1" ht="15.75" thickTop="1" x14ac:dyDescent="0.2">
      <c r="A34" s="122" t="s">
        <v>29</v>
      </c>
      <c r="B34" s="117"/>
      <c r="C34" s="104"/>
      <c r="D34" s="103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5" s="27" customFormat="1" ht="15" x14ac:dyDescent="0.2">
      <c r="A35" s="210" t="s">
        <v>30</v>
      </c>
      <c r="B35" s="118"/>
      <c r="C35" s="105">
        <f>'P&amp;LJan-Dec 20'!C25</f>
        <v>113450</v>
      </c>
      <c r="D35" s="105">
        <f>'P&amp;LJan-Dec 20'!D25</f>
        <v>113450</v>
      </c>
      <c r="E35" s="106">
        <f>'P&amp;LJan-Dec 20'!E25</f>
        <v>77850</v>
      </c>
      <c r="F35" s="106">
        <f>'P&amp;LJan-Dec 20'!F25</f>
        <v>42870</v>
      </c>
      <c r="G35" s="106">
        <f>'P&amp;LJan-Dec 20'!G25</f>
        <v>44735.899999999994</v>
      </c>
      <c r="H35" s="106">
        <f>'P&amp;LJan-Dec 20'!H25</f>
        <v>28410</v>
      </c>
      <c r="I35" s="106">
        <f>'P&amp;LJan-Dec 20'!I25</f>
        <v>10870</v>
      </c>
      <c r="J35" s="106">
        <f>'P&amp;LJan-Dec 20'!J25</f>
        <v>2650</v>
      </c>
      <c r="K35" s="106">
        <f>'P&amp;LJan-Dec 20'!K25</f>
        <v>-7490</v>
      </c>
      <c r="L35" s="106">
        <f>'P&amp;LJan-Dec 20'!L25</f>
        <v>-21030.151599375007</v>
      </c>
      <c r="M35" s="106">
        <f>'P&amp;LJan-Dec 20'!M25</f>
        <v>-23350</v>
      </c>
      <c r="N35" s="106">
        <f>'P&amp;LJan-Dec 20'!N25</f>
        <v>-29430.011436658126</v>
      </c>
      <c r="O35" s="25"/>
    </row>
    <row r="36" spans="1:15" s="27" customFormat="1" ht="15" x14ac:dyDescent="0.2">
      <c r="A36" s="211" t="s">
        <v>31</v>
      </c>
      <c r="B36" s="118"/>
      <c r="C36" s="105">
        <f>B8-C8</f>
        <v>0</v>
      </c>
      <c r="D36" s="105">
        <f>C8-D8</f>
        <v>0</v>
      </c>
      <c r="E36" s="106">
        <f>D8-E8</f>
        <v>-5500.0000000000073</v>
      </c>
      <c r="F36" s="106">
        <f>E8-F8</f>
        <v>-3000</v>
      </c>
      <c r="G36" s="106">
        <f>F8-G8</f>
        <v>-3200.0000000000073</v>
      </c>
      <c r="H36" s="106">
        <f>G8-H8</f>
        <v>-3400</v>
      </c>
      <c r="I36" s="106">
        <f>H8-I8</f>
        <v>-3600</v>
      </c>
      <c r="J36" s="106">
        <f>I8-J8</f>
        <v>-3700</v>
      </c>
      <c r="K36" s="106">
        <f>J8-K8</f>
        <v>-3900</v>
      </c>
      <c r="L36" s="106">
        <f>K8-L8</f>
        <v>-4100</v>
      </c>
      <c r="M36" s="106">
        <f>L8-M8</f>
        <v>-4300</v>
      </c>
      <c r="N36" s="106">
        <f>M8-N8</f>
        <v>-4500</v>
      </c>
    </row>
    <row r="37" spans="1:15" s="27" customFormat="1" ht="15" x14ac:dyDescent="0.2">
      <c r="A37" s="211" t="s">
        <v>32</v>
      </c>
      <c r="B37" s="118"/>
      <c r="C37" s="105">
        <f>C17-B17</f>
        <v>0</v>
      </c>
      <c r="D37" s="105">
        <f>D17-C17</f>
        <v>0</v>
      </c>
      <c r="E37" s="106">
        <f>E17-D17</f>
        <v>-53400</v>
      </c>
      <c r="F37" s="106">
        <f>F17-E17</f>
        <v>-34774</v>
      </c>
      <c r="G37" s="106">
        <f>G17-F17</f>
        <v>-13604.149999999994</v>
      </c>
      <c r="H37" s="106">
        <f>H17-G17</f>
        <v>-24435.850000000006</v>
      </c>
      <c r="I37" s="106">
        <f>I17-H17</f>
        <v>-26310</v>
      </c>
      <c r="J37" s="106">
        <f>J17-I17</f>
        <v>-12330</v>
      </c>
      <c r="K37" s="106">
        <f>K17-J17</f>
        <v>-15210</v>
      </c>
      <c r="L37" s="106">
        <f>L17-K17</f>
        <v>-7710.2273990624817</v>
      </c>
      <c r="M37" s="106">
        <f>M17-L17</f>
        <v>-16079.772600937518</v>
      </c>
      <c r="N37" s="106">
        <f>N17-M17</f>
        <v>-9120.0171549871884</v>
      </c>
    </row>
    <row r="38" spans="1:15" s="27" customFormat="1" ht="15.75" thickBot="1" x14ac:dyDescent="0.25">
      <c r="A38" s="212" t="s">
        <v>33</v>
      </c>
      <c r="B38" s="141"/>
      <c r="C38" s="142">
        <f>B9-C9+B11-C11</f>
        <v>20537.5</v>
      </c>
      <c r="D38" s="142">
        <f>C9-D9+C11-D11</f>
        <v>20537.5</v>
      </c>
      <c r="E38" s="143">
        <f>D9-E9+D11-E11</f>
        <v>20537.5</v>
      </c>
      <c r="F38" s="143">
        <f>E9-F9+E11-F11</f>
        <v>20537.5</v>
      </c>
      <c r="G38" s="143">
        <f>F9-G9+F11-G11</f>
        <v>20537.5</v>
      </c>
      <c r="H38" s="143">
        <f>G9-H9+G11-H11</f>
        <v>20537.5</v>
      </c>
      <c r="I38" s="143">
        <f>H9-I9+H11-I11</f>
        <v>20537.5</v>
      </c>
      <c r="J38" s="143">
        <f>I9-J9+I11-J11</f>
        <v>20537.5</v>
      </c>
      <c r="K38" s="143">
        <f>J9-K9+J11-K11</f>
        <v>20537.5</v>
      </c>
      <c r="L38" s="143">
        <f>K9-L9+K11-L11</f>
        <v>20537.5</v>
      </c>
      <c r="M38" s="143">
        <f>L9-M9+L11-M11</f>
        <v>20537.5</v>
      </c>
      <c r="N38" s="143">
        <f>M9-N9+M11-N11</f>
        <v>6137.5</v>
      </c>
    </row>
    <row r="39" spans="1:15" s="27" customFormat="1" ht="24.75" customHeight="1" thickTop="1" thickBot="1" x14ac:dyDescent="0.25">
      <c r="A39" s="213" t="s">
        <v>34</v>
      </c>
      <c r="B39" s="107">
        <f>SUM(B34:B38)</f>
        <v>0</v>
      </c>
      <c r="C39" s="107">
        <f>SUM(C34:C38)</f>
        <v>133987.5</v>
      </c>
      <c r="D39" s="107">
        <f>SUM(D34:D38)</f>
        <v>133987.5</v>
      </c>
      <c r="E39" s="108">
        <f>SUM(E34:E38)</f>
        <v>39487.5</v>
      </c>
      <c r="F39" s="108">
        <f t="shared" ref="F39:N39" si="16">SUM(F34:F38)</f>
        <v>25633.5</v>
      </c>
      <c r="G39" s="108">
        <f t="shared" si="16"/>
        <v>48469.249999999993</v>
      </c>
      <c r="H39" s="108">
        <f t="shared" si="16"/>
        <v>21111.649999999994</v>
      </c>
      <c r="I39" s="108">
        <f t="shared" si="16"/>
        <v>1497.5</v>
      </c>
      <c r="J39" s="108">
        <f t="shared" si="16"/>
        <v>7157.5</v>
      </c>
      <c r="K39" s="108">
        <f t="shared" si="16"/>
        <v>-6062.5</v>
      </c>
      <c r="L39" s="108">
        <f t="shared" si="16"/>
        <v>-12302.878998437489</v>
      </c>
      <c r="M39" s="108">
        <f t="shared" si="16"/>
        <v>-23192.272600937518</v>
      </c>
      <c r="N39" s="108">
        <f t="shared" si="16"/>
        <v>-36912.528591645314</v>
      </c>
    </row>
    <row r="40" spans="1:15" s="27" customFormat="1" ht="34.5" customHeight="1" thickTop="1" thickBot="1" x14ac:dyDescent="0.25">
      <c r="A40" s="214" t="s">
        <v>80</v>
      </c>
      <c r="B40" s="145"/>
      <c r="C40" s="144"/>
      <c r="D40" s="146"/>
      <c r="E40" s="149">
        <v>-80000</v>
      </c>
      <c r="F40" s="149">
        <v>-80000</v>
      </c>
      <c r="G40" s="149">
        <v>-80000</v>
      </c>
      <c r="H40" s="147">
        <f>-300000-80000</f>
        <v>-380000</v>
      </c>
      <c r="I40" s="149">
        <v>-80000</v>
      </c>
      <c r="J40" s="149">
        <v>-80000</v>
      </c>
      <c r="K40" s="149">
        <v>-80000</v>
      </c>
      <c r="L40" s="149">
        <v>-80000</v>
      </c>
      <c r="M40" s="149">
        <v>-80000</v>
      </c>
      <c r="N40" s="149">
        <v>-80000</v>
      </c>
    </row>
    <row r="41" spans="1:15" s="27" customFormat="1" ht="30.75" customHeight="1" thickTop="1" thickBot="1" x14ac:dyDescent="0.25">
      <c r="A41" s="215" t="s">
        <v>35</v>
      </c>
      <c r="B41" s="119">
        <v>0</v>
      </c>
      <c r="C41" s="119">
        <v>0</v>
      </c>
      <c r="D41" s="119">
        <v>0</v>
      </c>
      <c r="E41" s="108">
        <f>D41</f>
        <v>0</v>
      </c>
      <c r="F41" s="108">
        <f t="shared" ref="F41:N41" si="17">E41</f>
        <v>0</v>
      </c>
      <c r="G41" s="108">
        <f t="shared" si="17"/>
        <v>0</v>
      </c>
      <c r="H41" s="108">
        <f t="shared" si="17"/>
        <v>0</v>
      </c>
      <c r="I41" s="108">
        <f t="shared" si="17"/>
        <v>0</v>
      </c>
      <c r="J41" s="108">
        <f t="shared" si="17"/>
        <v>0</v>
      </c>
      <c r="K41" s="108">
        <f t="shared" si="17"/>
        <v>0</v>
      </c>
      <c r="L41" s="108">
        <f t="shared" si="17"/>
        <v>0</v>
      </c>
      <c r="M41" s="108">
        <f t="shared" si="17"/>
        <v>0</v>
      </c>
      <c r="N41" s="108">
        <f t="shared" si="17"/>
        <v>0</v>
      </c>
    </row>
    <row r="42" spans="1:15" s="27" customFormat="1" ht="24.75" customHeight="1" thickTop="1" thickBot="1" x14ac:dyDescent="0.25">
      <c r="A42" s="213" t="s">
        <v>36</v>
      </c>
      <c r="B42" s="119"/>
      <c r="C42" s="110">
        <f>SUM(C39:C41)</f>
        <v>133987.5</v>
      </c>
      <c r="D42" s="110">
        <f>SUM(D39:D41)</f>
        <v>133987.5</v>
      </c>
      <c r="E42" s="111">
        <f>SUM(E39:E41)</f>
        <v>-40512.5</v>
      </c>
      <c r="F42" s="111">
        <f>SUM(F39:F41)</f>
        <v>-54366.5</v>
      </c>
      <c r="G42" s="111">
        <f>SUM(G39:G41)</f>
        <v>-31530.750000000007</v>
      </c>
      <c r="H42" s="111">
        <f t="shared" ref="H42:N42" si="18">SUM(H39:H41)</f>
        <v>-358888.35</v>
      </c>
      <c r="I42" s="111">
        <f t="shared" si="18"/>
        <v>-78502.5</v>
      </c>
      <c r="J42" s="111">
        <f t="shared" si="18"/>
        <v>-72842.5</v>
      </c>
      <c r="K42" s="111">
        <f t="shared" si="18"/>
        <v>-86062.5</v>
      </c>
      <c r="L42" s="111">
        <f t="shared" si="18"/>
        <v>-92302.878998437489</v>
      </c>
      <c r="M42" s="111">
        <f t="shared" si="18"/>
        <v>-103192.27260093752</v>
      </c>
      <c r="N42" s="111">
        <f t="shared" si="18"/>
        <v>-116912.52859164531</v>
      </c>
    </row>
    <row r="43" spans="1:15" s="112" customFormat="1" ht="36" customHeight="1" thickTop="1" thickBot="1" x14ac:dyDescent="0.25">
      <c r="A43" s="213" t="s">
        <v>62</v>
      </c>
      <c r="B43" s="121"/>
      <c r="C43" s="110">
        <f>B46+C42</f>
        <v>351322.5</v>
      </c>
      <c r="D43" s="110">
        <f>C46+D42</f>
        <v>485310</v>
      </c>
      <c r="E43" s="111">
        <f>D46+E42</f>
        <v>444797.5</v>
      </c>
      <c r="F43" s="111">
        <f t="shared" ref="F43:N43" si="19">E46+F42</f>
        <v>390431</v>
      </c>
      <c r="G43" s="111">
        <f t="shared" si="19"/>
        <v>358900.25</v>
      </c>
      <c r="H43" s="111">
        <f t="shared" si="19"/>
        <v>11.900000000023283</v>
      </c>
      <c r="I43" s="111">
        <f t="shared" si="19"/>
        <v>-28502.5</v>
      </c>
      <c r="J43" s="111">
        <f t="shared" si="19"/>
        <v>-22842.5</v>
      </c>
      <c r="K43" s="111">
        <f t="shared" si="19"/>
        <v>-36062.5</v>
      </c>
      <c r="L43" s="111">
        <f t="shared" si="19"/>
        <v>-42302.878998437489</v>
      </c>
      <c r="M43" s="111">
        <f t="shared" si="19"/>
        <v>-53192.272600937518</v>
      </c>
      <c r="N43" s="111">
        <f t="shared" si="19"/>
        <v>-66912.528591645314</v>
      </c>
    </row>
    <row r="44" spans="1:15" s="27" customFormat="1" ht="17.25" thickTop="1" thickBot="1" x14ac:dyDescent="0.25">
      <c r="A44" s="216" t="s">
        <v>61</v>
      </c>
      <c r="B44" s="120"/>
      <c r="C44" s="109">
        <v>0</v>
      </c>
      <c r="D44" s="109">
        <v>0</v>
      </c>
      <c r="E44" s="19">
        <f t="shared" ref="E44:N44" si="20">IF(E43&gt;50000,0,MIN(400000-D47,50000-E43))</f>
        <v>0</v>
      </c>
      <c r="F44" s="19">
        <f t="shared" si="20"/>
        <v>0</v>
      </c>
      <c r="G44" s="19">
        <f t="shared" si="20"/>
        <v>0</v>
      </c>
      <c r="H44" s="19">
        <f t="shared" si="20"/>
        <v>49988.099999999977</v>
      </c>
      <c r="I44" s="19">
        <f t="shared" si="20"/>
        <v>78502.5</v>
      </c>
      <c r="J44" s="19">
        <f t="shared" si="20"/>
        <v>72842.5</v>
      </c>
      <c r="K44" s="19">
        <f t="shared" si="20"/>
        <v>63816.900000000023</v>
      </c>
      <c r="L44" s="19">
        <f t="shared" si="20"/>
        <v>0</v>
      </c>
      <c r="M44" s="19">
        <f t="shared" si="20"/>
        <v>0</v>
      </c>
      <c r="N44" s="19">
        <f t="shared" si="20"/>
        <v>0</v>
      </c>
    </row>
    <row r="45" spans="1:15" s="112" customFormat="1" ht="36" customHeight="1" thickTop="1" thickBot="1" x14ac:dyDescent="0.25">
      <c r="A45" s="217" t="s">
        <v>65</v>
      </c>
      <c r="B45" s="218"/>
      <c r="C45" s="150"/>
      <c r="D45" s="150"/>
      <c r="E45" s="150">
        <f>IF(E43+E44&lt;50000,-(E43+E44-50000),0)</f>
        <v>0</v>
      </c>
      <c r="F45" s="150">
        <f t="shared" ref="F45:N45" si="21">IF(F43+F44&lt;50000,-(F43+F44-50000),0)</f>
        <v>0</v>
      </c>
      <c r="G45" s="150">
        <f t="shared" si="21"/>
        <v>0</v>
      </c>
      <c r="H45" s="150">
        <f t="shared" si="21"/>
        <v>0</v>
      </c>
      <c r="I45" s="150">
        <f t="shared" si="21"/>
        <v>0</v>
      </c>
      <c r="J45" s="150">
        <f t="shared" si="21"/>
        <v>0</v>
      </c>
      <c r="K45" s="150">
        <f t="shared" si="21"/>
        <v>22245.599999999977</v>
      </c>
      <c r="L45" s="150">
        <f t="shared" si="21"/>
        <v>92302.878998437489</v>
      </c>
      <c r="M45" s="150">
        <f t="shared" si="21"/>
        <v>103192.27260093752</v>
      </c>
      <c r="N45" s="150">
        <f t="shared" si="21"/>
        <v>116912.52859164531</v>
      </c>
    </row>
    <row r="46" spans="1:15" s="112" customFormat="1" ht="36" customHeight="1" thickTop="1" thickBot="1" x14ac:dyDescent="0.25">
      <c r="A46" s="213" t="s">
        <v>66</v>
      </c>
      <c r="B46" s="121">
        <f>200000+17335</f>
        <v>217335</v>
      </c>
      <c r="C46" s="110">
        <f>C43+C44</f>
        <v>351322.5</v>
      </c>
      <c r="D46" s="110">
        <f>D43+D44</f>
        <v>485310</v>
      </c>
      <c r="E46" s="111">
        <f>SUM(E43:E45)</f>
        <v>444797.5</v>
      </c>
      <c r="F46" s="111">
        <f>SUM(F43:F45)</f>
        <v>390431</v>
      </c>
      <c r="G46" s="111">
        <f t="shared" ref="G46:N46" si="22">SUM(G43:G45)</f>
        <v>358900.25</v>
      </c>
      <c r="H46" s="111">
        <f t="shared" si="22"/>
        <v>50000</v>
      </c>
      <c r="I46" s="111">
        <f t="shared" si="22"/>
        <v>50000</v>
      </c>
      <c r="J46" s="111">
        <f t="shared" si="22"/>
        <v>50000</v>
      </c>
      <c r="K46" s="111">
        <f t="shared" si="22"/>
        <v>50000</v>
      </c>
      <c r="L46" s="111">
        <f t="shared" si="22"/>
        <v>50000</v>
      </c>
      <c r="M46" s="111">
        <f t="shared" si="22"/>
        <v>50000</v>
      </c>
      <c r="N46" s="111">
        <f t="shared" si="22"/>
        <v>50000</v>
      </c>
    </row>
    <row r="47" spans="1:15" s="112" customFormat="1" ht="36" customHeight="1" thickTop="1" thickBot="1" x14ac:dyDescent="0.25">
      <c r="A47" s="213" t="s">
        <v>79</v>
      </c>
      <c r="B47" s="151">
        <f>B18</f>
        <v>134850</v>
      </c>
      <c r="C47" s="151">
        <f t="shared" ref="C47:N47" si="23">B47+C44</f>
        <v>134850</v>
      </c>
      <c r="D47" s="151">
        <f t="shared" si="23"/>
        <v>134850</v>
      </c>
      <c r="E47" s="152">
        <f t="shared" si="23"/>
        <v>134850</v>
      </c>
      <c r="F47" s="152">
        <f t="shared" si="23"/>
        <v>134850</v>
      </c>
      <c r="G47" s="152">
        <f t="shared" si="23"/>
        <v>134850</v>
      </c>
      <c r="H47" s="152">
        <f t="shared" si="23"/>
        <v>184838.09999999998</v>
      </c>
      <c r="I47" s="152">
        <f t="shared" si="23"/>
        <v>263340.59999999998</v>
      </c>
      <c r="J47" s="152">
        <f t="shared" si="23"/>
        <v>336183.1</v>
      </c>
      <c r="K47" s="152">
        <f t="shared" si="23"/>
        <v>400000</v>
      </c>
      <c r="L47" s="152">
        <f t="shared" si="23"/>
        <v>400000</v>
      </c>
      <c r="M47" s="152">
        <f t="shared" si="23"/>
        <v>400000</v>
      </c>
      <c r="N47" s="152">
        <f t="shared" si="23"/>
        <v>400000</v>
      </c>
    </row>
    <row r="48" spans="1:15" ht="13.5" thickTop="1" x14ac:dyDescent="0.2">
      <c r="C48" s="50"/>
    </row>
    <row r="49" spans="3:3" x14ac:dyDescent="0.2">
      <c r="C49" s="113"/>
    </row>
  </sheetData>
  <mergeCells count="2">
    <mergeCell ref="E4:N4"/>
    <mergeCell ref="E32:N32"/>
  </mergeCells>
  <pageMargins left="0.25" right="0.25" top="0.75" bottom="0.75" header="0.3" footer="0.3"/>
  <pageSetup scale="94" orientation="portrait" r:id="rId1"/>
  <headerFooter>
    <oddHeader>&amp;CBEACON CFO PLUS LLC
BALANCE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Revenue</vt:lpstr>
      <vt:lpstr>P&amp;LJan-Dec 20</vt:lpstr>
      <vt:lpstr>BS 2020</vt:lpstr>
      <vt:lpstr>'BS 2020'!Print_Area</vt:lpstr>
      <vt:lpstr>'P&amp;LJan-Dec 20'!Print_Area</vt:lpstr>
      <vt:lpstr>Revenue!Print_Area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2020-03-24T14:42:17Z</dcterms:created>
  <dcterms:modified xsi:type="dcterms:W3CDTF">2020-03-27T18:37:57Z</dcterms:modified>
</cp:coreProperties>
</file>